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180" windowWidth="15480" windowHeight="11640" activeTab="0"/>
  </bookViews>
  <sheets>
    <sheet name="Кредитный калькулятор" sheetId="1" r:id="rId1"/>
  </sheets>
  <definedNames>
    <definedName name="_xlnm.Print_Area" localSheetId="0">'Кредитный калькулятор'!$A$1:$N$181</definedName>
    <definedName name="сумма">#REF!</definedName>
  </definedNames>
  <calcPr fullCalcOnLoad="1"/>
</workbook>
</file>

<file path=xl/sharedStrings.xml><?xml version="1.0" encoding="utf-8"?>
<sst xmlns="http://schemas.openxmlformats.org/spreadsheetml/2006/main" count="278" uniqueCount="136">
  <si>
    <t>1 - кредит по специальной процедуре            2 - кредит Экспресс</t>
  </si>
  <si>
    <t>Кредитополучатель:</t>
  </si>
  <si>
    <t>сп кп</t>
  </si>
  <si>
    <t>эк</t>
  </si>
  <si>
    <t>сп</t>
  </si>
  <si>
    <t>Процент по кредиту:</t>
  </si>
  <si>
    <t>Количество дней для первого месяца</t>
  </si>
  <si>
    <t>Комиссия по кредиту:</t>
  </si>
  <si>
    <t>Количество дней для последнего месяца</t>
  </si>
  <si>
    <t>Периоды погашения</t>
  </si>
  <si>
    <t>Годовая процентная ставка:</t>
  </si>
  <si>
    <t>Срок кредита:</t>
  </si>
  <si>
    <t>Срок лимита:</t>
  </si>
  <si>
    <t>Дата выдачи:</t>
  </si>
  <si>
    <t>дд.мм.гггг</t>
  </si>
  <si>
    <t>Обеспечение:</t>
  </si>
  <si>
    <t>Неустойка</t>
  </si>
  <si>
    <t>Целевое назначение:</t>
  </si>
  <si>
    <t>…</t>
  </si>
  <si>
    <t>Дата погашения</t>
  </si>
  <si>
    <t>С использованием возможностей лимита овердрафта:</t>
  </si>
  <si>
    <t>Сумма погашения основного долга</t>
  </si>
  <si>
    <t>Сумма процентов к уплате</t>
  </si>
  <si>
    <t>Сумма комиссии к уплате</t>
  </si>
  <si>
    <t>Итого к уплате</t>
  </si>
  <si>
    <t>проверка</t>
  </si>
  <si>
    <t>день</t>
  </si>
  <si>
    <t>процент сп</t>
  </si>
  <si>
    <t>процент эк</t>
  </si>
  <si>
    <t>остаток</t>
  </si>
  <si>
    <t>проц сп</t>
  </si>
  <si>
    <t>проц эк</t>
  </si>
  <si>
    <t>проц2</t>
  </si>
  <si>
    <t>ежедостат</t>
  </si>
  <si>
    <t>ежедостат2</t>
  </si>
  <si>
    <t>комиссия2</t>
  </si>
  <si>
    <t>*Тариф 50 000 белорусских рублей должен быть внесен Вами в течение 30 дней с момента подписания Соглашения об овердрафтном кредите одним из нижеприведенных способов:
1. путем пополнения карт-счета Кредитополучателя в порядке, установленном Договором карт-</t>
  </si>
  <si>
    <t xml:space="preserve"> </t>
  </si>
  <si>
    <t>неустойка</t>
  </si>
  <si>
    <t>поручительство</t>
  </si>
  <si>
    <t>Контактные телефоны: 8-017-209-47-71, +37529-1-293-293 (Velcom), +37533-6-803-903 (МТС), +37525-9-803-903 (Life:))</t>
  </si>
  <si>
    <t>ЭК_ЮСД</t>
  </si>
  <si>
    <t>ЭК_БИР</t>
  </si>
  <si>
    <t>СП_КП</t>
  </si>
  <si>
    <t>СП</t>
  </si>
  <si>
    <t>I. Иные платежи, согласно Перечню ставок вознаграждения за операции ЗАО «Трастбанк»:</t>
  </si>
  <si>
    <t>1) Регистрация в платежной системе карточки на три года  (уплачивается в течение первого месяца с даты открытия карт-счета): 10 долларов США;</t>
  </si>
  <si>
    <t>1) Регистрация в платежной системе карточки на три года  (уплачивается в течение первого месяца с даты открытия карт-счета): 50 000 белорусских рублей;</t>
  </si>
  <si>
    <t>1) Регистрация в платежной системе карточки со сроком действия 2 года  (уплачивается в течение первого месяца с даты открытия карт-счета): 50 000 белорусских рублей;</t>
  </si>
  <si>
    <t>Иные платежи отсутствуют.</t>
  </si>
  <si>
    <t>2) Выдача наличных средств при овердрафтном кредите по карт-счету:</t>
  </si>
  <si>
    <t>2) Пополнение карт-счета:</t>
  </si>
  <si>
    <t>II. Ответственность Кредитополучателя за несоблюдение условий кредитного договора:</t>
  </si>
  <si>
    <t>- в кассах и банкоматах Банка (в том числе Пунктов выдачи наличных): 2,5% от выданной суммы, но не менее 5000 бел.руб.;</t>
  </si>
  <si>
    <t>- банковским переводом со счетов, открытых в других банках (в том числе их филиалов), банковским переводом без открытия счета путем внесения средств в кассу иных банков (в том числе их филиалов): 0,5% от зачисляемой суммы.</t>
  </si>
  <si>
    <t>1) Кредитополучатель уплачивает Банку повышенные проценты по просроченной задолженности по кредиту в размере процентной ставки за пользование кредитом, увеличенной на 30 процентных пунктов.</t>
  </si>
  <si>
    <t>- в кассах Банков и их филиалов (без учета дополнительных комиссий Банков) и  банкоматах Банков, подключенных к ОАО «БПЦ», на территории Республики Беларусь: 3,5% от выданной суммы, но не менее 5000 бел.руб.;</t>
  </si>
  <si>
    <t>- перевода на карт-счет в рамках системы "Расчет": 2% от зачисляемой суммы.</t>
  </si>
  <si>
    <t>2) В случае неисполнения обязательств по уплате процентов,  Кредитополучатель уплачивает Банку пеню из расчета ставки по кредиту, увеличенной на 5% годовых , от суммы просроченной задолженности за каждый день просрочки.</t>
  </si>
  <si>
    <t>2) В случае неисполнения обязательств по уплате комиссии за сопровождение кредита,  Кредитополучатель уплачивает Банку  пеню в размере 0,2% от суммы просроченной задолженности за каждый день просрочки.</t>
  </si>
  <si>
    <t>- в кассах Банков и их филиалов (без учета дополнительных комиссий Банков) и  банкоматах Банков, не подключенных к ОАО «БПЦ»: 3,5% от выданной суммы, но не менее 5000 бел.руб.;</t>
  </si>
  <si>
    <t xml:space="preserve">- в кассах Банков и их филиалов (без учета дополнительных комиссий Банков) и  банкоматах Банков, не подключенных к ОАО «БПЦ»: 3,5% от выданной суммы, но не менее 5000 бел.руб.; </t>
  </si>
  <si>
    <t>3) Просмотр доступного остатка денежных средств по карт-счету:</t>
  </si>
  <si>
    <t>3) В случае несвоевременного уведомления Банка об изменении паспортных данных, адреса проживания и номера телефона, указанных в заявлении-анкет, Кредитополучатель уплачивает штраф в размере 1 базовой величины.</t>
  </si>
  <si>
    <t>- в кассах Банков и их филиалов (без учета дополнительных комиссий Банков) и  банкоматах Банков за пределами Республики Беларусь: 3,5% от выданной суммы, но не менее 2 долларов США.</t>
  </si>
  <si>
    <t>- в кассах Банков и их филиалов (без учета дополнительных комиссий Банков) и  банкоматах Банков за пределами Республики Беларусь: 3,5% от выданной суммы, но не менее 15 000 бел.руб.</t>
  </si>
  <si>
    <t>- в устройствах Банка: бесплатно;</t>
  </si>
  <si>
    <t>III. Кредитополучателю предоставляется право на досрочное погашение задолженности по кредиту без взимания штрафов и дополнительных комиссий.</t>
  </si>
  <si>
    <t xml:space="preserve">4)  В случае возникновения просроченной задолженности по основному долгу, помимо повышенных процентов, Кредитополучатель уплачивает неустойку в размере 0,3% от суммы просроченной задолженности по основному долгу за каждый день просрочки. </t>
  </si>
  <si>
    <t>3) Пополнение карт-счета бесплатно, кроме случаев:</t>
  </si>
  <si>
    <t>- в устройствах Банков, подключенных к ОАО «БПЦ», на территории Республики Беларусь: 600 белорусских рублей;</t>
  </si>
  <si>
    <t>- банковских переводов со счетов, открытых в ЗАО «Тастбанк: 0,7% от зачисляемой суммы.</t>
  </si>
  <si>
    <t>- банковских переводов со счетов, открытых в других Банках (в том числе их филиалов), банковских переводов без открытия счета путем внесения средств в кассу иных банков (в том числе их филиалов): 0,9% от зачисляемой суммы.</t>
  </si>
  <si>
    <t>- в устройствах Банков, не подключенных к ОАО «БПЦ»: 1 500 белорусских рублей;</t>
  </si>
  <si>
    <t>- в устройствах Банков за пределами Республики Беларусь: 5 000 белорусских рублей.</t>
  </si>
  <si>
    <t>4) Просмотр доступного остатка денежных средств по карт-счету:</t>
  </si>
  <si>
    <t>- в устройствах Банков, подключенных к ОАО «БПЦ», на территории Республики Беларусь: 0,06 доллара США;</t>
  </si>
  <si>
    <t>2) В случае неисполнения обязательств по уплате процентов,  Кредитополучатель уплачивает Банку пеню из расчета ставки по кредиту, увеличенной на 5% годовых, от суммы просроченной задолженности за каждый день просрочки.</t>
  </si>
  <si>
    <t>- в устройствах Банков, не подключенных к ОАО «БПЦ»: 0,3 доллара США;</t>
  </si>
  <si>
    <t>- в устройствах Банков за пределами Республики Беларусь: 0,4 доллара США.</t>
  </si>
  <si>
    <t>5) Блокировка и внесение карточки в локальный стоп-лист: 5 долларов США.</t>
  </si>
  <si>
    <t>5) Блокировка и внесение карточки в локальный стоп-лист: 10 000 белорусских рублей.</t>
  </si>
  <si>
    <t xml:space="preserve">3)  В случае возникновения просроченной задолженности по основному долгу, помимо повышенных процентов, Кредитополучатель уплачивает неустойку в размере 0,3% от суммы просроченной задолженности по основному долгу за каждый день просрочки. </t>
  </si>
  <si>
    <t>6) Замена персонального идентификационного номера в связи его с утерей (взимается независимо от обстоятельств утери): 5 долларов США.</t>
  </si>
  <si>
    <t>6) Замена персонального идентификационного номера в связи его с утерей (взимается независимо от обстоятельств утери): 20 000 белорусских рублей.</t>
  </si>
  <si>
    <t>4) В случае несвоевременного уведомления Банка об изменении паспортных данных, адреса проживания и номера телефона, указанных в заявлении-анкет, Кредитополучатель уплачивает штраф в размере 1 базовой величины.</t>
  </si>
  <si>
    <t>7) Предоставление дополнительной выписки по счету: 5 долларов США.</t>
  </si>
  <si>
    <t>7) Предоставление дополнительной выписки по счету: 3 100 белорусских рублей.</t>
  </si>
  <si>
    <t xml:space="preserve">2)  В случае возникновения просроченной задолженности по основному долгу, помимо повышенных процентов, Кредитополучатель уплачивает неустойку в размере 0,3% от суммы просроченной задолженности по основному долгу за каждый день просрочки. </t>
  </si>
  <si>
    <t>2) В случае неисполнения обязательств по уплате процентов и комиссии,  Кредитополучатель уплачивает Банку пеню в размере 0,2% от суммы просроченной задолженности за каждый день просрочки.</t>
  </si>
  <si>
    <t>3) В случае неисполнения обязательств по уплате процентов и комиссии,  Кредитополучатель уплачивает Банку пеню в размере 0,2% от суммы просроченной задолженности за каждый день просрочки.</t>
  </si>
  <si>
    <t>4) В случае несвоевременного уведомления Банка об изменении паспортных данных, адреса проживания и номера телефона, указанных в заявлении-анкет, Кредитополучатель уплачивает штраф в размере  1 базовой величины.</t>
  </si>
  <si>
    <t>Для полного погашения кредита, а также при внесении последнего платежа обязательно позвоните в Банк и уточните сумму для погашения.</t>
  </si>
  <si>
    <t>Ответственность Кредитополучателя за несоблюдение условий Соглашения об овердрафтном кредите</t>
  </si>
  <si>
    <t>- Кредитополучатель уплачивает Банку повышенные проценты по просроченной задолженности по кредиту в размере процентной ставки за пользование кредитом, увеличенной на 50 процентных пунктов.</t>
  </si>
  <si>
    <t xml:space="preserve">- В случае возникновения просроченной задолженности по основному долгу, помимо повышенных процентов, Кредитополучатель уплачивает неустойку в размере 0,3% от суммы просроченной задолженности по основному долгу за каждый день просрочки. </t>
  </si>
  <si>
    <t>- В случае неисполнения обязательств по уплате процентов по кредиту, Кредитополучатель уплачивает Банку пеню в размере 0,2% от суммы просроченной задолженности по процентам за  каждый день просрочки.</t>
  </si>
  <si>
    <t>- В случае несвоевременного уведомления Банка об изменении паспортных данных, адреса проживания и номера телефона, указанных в заявлении-анкете, Кредитополучатель уплачивает штраф в размере 1 базовой величины.</t>
  </si>
  <si>
    <t>Ответственность Банка за несоблюдение условий Соглашения об овердрафтном кредите</t>
  </si>
  <si>
    <t xml:space="preserve"> - За неисполнение обязательства по предоставлению кредита по вине Банка последний уплачивает Кредитополучателю штраф в размере 0,5 ( ноль целых пять десятых) процента базовой величины, устанновленной на дату нарушения.</t>
  </si>
  <si>
    <t>Кредитополучателю предоставляется право на досрочное погашение задолженности по кредиту без взимания штрафов.</t>
  </si>
  <si>
    <t xml:space="preserve">Выдача наличных средств: </t>
  </si>
  <si>
    <t xml:space="preserve">- в кассах и банкоматах Банка (в том числе Пунктов выдачи наличных): </t>
  </si>
  <si>
    <t>2,5% от выданной суммы, но не менее 5 000 BYR</t>
  </si>
  <si>
    <t>- в кассах банков и их филиалов (без учета дополнительных комиссий банков) и  банкоматах банков, подключенных к ОАО «БПЦ»:</t>
  </si>
  <si>
    <t>3,5% от выданной суммы, но не менее 5 000 BYR</t>
  </si>
  <si>
    <t>- в кассах банков и их филиалов (без учета дополнительных комиссий банков) и  банкоматах банков, не подключенных к ОАО «БПЦ», на территории Республики Беларусь:</t>
  </si>
  <si>
    <t>- в кассах банков и их филиалов (без учета дополнительных комиссий банков) и  банкоматах банков за пределами территории Республики Беларусь:</t>
  </si>
  <si>
    <t>3,5% от выданной суммы, но не менее 15 000 BYR</t>
  </si>
  <si>
    <t>Пополнение счета путем:</t>
  </si>
  <si>
    <t xml:space="preserve">- внесения наличных денежных средств в кассу Банка; </t>
  </si>
  <si>
    <t xml:space="preserve">бесплатно </t>
  </si>
  <si>
    <t>- внесения наличных денежных средств на  карточку в ПВН ОАО «АСБ Беларусбанк»</t>
  </si>
  <si>
    <t>бесплатно</t>
  </si>
  <si>
    <t>- банковского перевода со счетов, открытых в Банке; банковского перевода без открытия счета путем внесения средств в кассу Банка</t>
  </si>
  <si>
    <t>0,7% от суммы зачисления</t>
  </si>
  <si>
    <t>- банковского перевода со счетов, открытых в других банках (в том числе их филиалов), банковского перевода без открытия счета путем внесения средств в кассу иных банков (в том числе их филиалов)</t>
  </si>
  <si>
    <t>0,9% от суммы зачисления</t>
  </si>
  <si>
    <t>- перевода на счет в рамках системы «Расчет»</t>
  </si>
  <si>
    <t>2% от суммы зачисления</t>
  </si>
  <si>
    <t>Предоставление возможности с использованием банковской платежной карточки просмотра доступного остатка денежных средств по счету, получения мини-выписки по счету, осуществления операций в сети Интернет, а также подключение услуги «SMS-оповещения» осуществ</t>
  </si>
  <si>
    <t>Информация об условиях кредитования мной получена, с ней ознакомлен(а) и согласен(на) до подписания Соглашения об овердрафтном кредите</t>
  </si>
  <si>
    <r>
      <t xml:space="preserve">* Для полного погашения кредита, а также при внесении последнего платежа </t>
    </r>
    <r>
      <rPr>
        <u val="single"/>
        <sz val="10"/>
        <color indexed="9"/>
        <rFont val="Arial Cyr"/>
        <family val="0"/>
      </rPr>
      <t>обязательно</t>
    </r>
    <r>
      <rPr>
        <sz val="10"/>
        <color indexed="9"/>
        <rFont val="Arial Cyr"/>
        <family val="0"/>
      </rPr>
      <t xml:space="preserve"> перезвоните в Банк и уточните сумму для погашения!</t>
    </r>
  </si>
  <si>
    <r>
      <t xml:space="preserve">Регистрация  в платежной системе  банковской карточки Visa Electron или БелКарт и перевыпуск ее по окончанию срока действия в течение периода  пользования кредитом </t>
    </r>
    <r>
      <rPr>
        <b/>
        <sz val="12"/>
        <color indexed="8"/>
        <rFont val="Arial"/>
        <family val="2"/>
      </rPr>
      <t>—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бесплатно.</t>
    </r>
  </si>
  <si>
    <r>
      <t xml:space="preserve">Все платежи в погашение кредитов осуществляются не позднее </t>
    </r>
    <r>
      <rPr>
        <b/>
        <sz val="12"/>
        <color indexed="8"/>
        <rFont val="Arial"/>
        <family val="2"/>
      </rPr>
      <t>20</t>
    </r>
    <r>
      <rPr>
        <sz val="12"/>
        <color indexed="8"/>
        <rFont val="Arial"/>
        <family val="2"/>
      </rPr>
      <t>-го числа текущего месяца.</t>
    </r>
  </si>
  <si>
    <r>
      <rPr>
        <b/>
        <sz val="12"/>
        <color indexed="8"/>
        <rFont val="Arial"/>
        <family val="2"/>
      </rPr>
      <t>Контактные телефоны:</t>
    </r>
    <r>
      <rPr>
        <sz val="12"/>
        <color indexed="8"/>
        <rFont val="Arial"/>
        <family val="2"/>
      </rPr>
      <t xml:space="preserve"> 8 801 1 003 333 (бесплатный звонок с городского телефона на территории Беларуси); 
8-017-209-47-71 (городской телефон), +37529-1-293-293 (Velcom), +37533-6-803-903 (МТС), +37525-9-803-903 (Life:)),
465 (Единый номер для абонентов моби</t>
    </r>
  </si>
  <si>
    <r>
      <t xml:space="preserve">Оплата товаров и услуг с использованием карточки </t>
    </r>
    <r>
      <rPr>
        <b/>
        <sz val="12"/>
        <color indexed="8"/>
        <rFont val="Arial"/>
        <family val="2"/>
      </rPr>
      <t>—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бесплатно.</t>
    </r>
  </si>
  <si>
    <r>
      <rPr>
        <b/>
        <sz val="12"/>
        <color indexed="60"/>
        <rFont val="Arial Cyr"/>
        <family val="0"/>
      </rPr>
      <t xml:space="preserve">            </t>
    </r>
    <r>
      <rPr>
        <b/>
        <u val="single"/>
        <sz val="12"/>
        <color indexed="60"/>
        <rFont val="Arial Cyr"/>
        <family val="0"/>
      </rPr>
      <t>Кредитный калькулятор с примерным графиком погашения</t>
    </r>
  </si>
  <si>
    <t>Фиксированная</t>
  </si>
  <si>
    <t>Дополнительная информация:</t>
  </si>
  <si>
    <t>Приятные покупки СТАНДАРТ</t>
  </si>
  <si>
    <t>бел. рублей</t>
  </si>
  <si>
    <t>Среднемесячная зарплата Заявителя:</t>
  </si>
  <si>
    <t>Стоимость товара:</t>
  </si>
  <si>
    <t>Оплачено Заявителем:</t>
  </si>
  <si>
    <t>Сумма к оплате банком:</t>
  </si>
</sst>
</file>

<file path=xl/styles.xml><?xml version="1.0" encoding="utf-8"?>
<styleSheet xmlns="http://schemas.openxmlformats.org/spreadsheetml/2006/main">
  <numFmts count="26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00000"/>
  </numFmts>
  <fonts count="10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22"/>
      <name val="Arial Cyr"/>
      <family val="0"/>
    </font>
    <font>
      <b/>
      <i/>
      <sz val="20"/>
      <color indexed="23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name val="Arial Cyr"/>
      <family val="0"/>
    </font>
    <font>
      <b/>
      <sz val="10"/>
      <color indexed="22"/>
      <name val="Arial Cyr"/>
      <family val="0"/>
    </font>
    <font>
      <sz val="11"/>
      <name val="Arial Cyr"/>
      <family val="0"/>
    </font>
    <font>
      <sz val="6"/>
      <color indexed="55"/>
      <name val="Arial Cyr"/>
      <family val="0"/>
    </font>
    <font>
      <sz val="9"/>
      <color indexed="9"/>
      <name val="Arial Cyr"/>
      <family val="0"/>
    </font>
    <font>
      <u val="single"/>
      <sz val="10"/>
      <color indexed="9"/>
      <name val="Arial Cyr"/>
      <family val="0"/>
    </font>
    <font>
      <sz val="10"/>
      <color indexed="9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u val="single"/>
      <sz val="12"/>
      <color indexed="60"/>
      <name val="Arial Cyr"/>
      <family val="0"/>
    </font>
    <font>
      <b/>
      <sz val="12"/>
      <color indexed="60"/>
      <name val="Arial Cyr"/>
      <family val="0"/>
    </font>
    <font>
      <b/>
      <i/>
      <sz val="12"/>
      <color indexed="60"/>
      <name val="Arial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22"/>
      <name val="Calibri"/>
      <family val="2"/>
    </font>
    <font>
      <b/>
      <sz val="10"/>
      <color indexed="22"/>
      <name val="Arial"/>
      <family val="2"/>
    </font>
    <font>
      <sz val="10"/>
      <color indexed="55"/>
      <name val="Arial"/>
      <family val="2"/>
    </font>
    <font>
      <b/>
      <sz val="10"/>
      <color indexed="9"/>
      <name val="Arial"/>
      <family val="2"/>
    </font>
    <font>
      <sz val="11"/>
      <color indexed="22"/>
      <name val="Arial Cyr"/>
      <family val="0"/>
    </font>
    <font>
      <b/>
      <i/>
      <sz val="20"/>
      <name val="Arial Cyr"/>
      <family val="0"/>
    </font>
    <font>
      <b/>
      <u val="single"/>
      <sz val="12"/>
      <name val="Arial Cyr"/>
      <family val="0"/>
    </font>
    <font>
      <b/>
      <i/>
      <sz val="12"/>
      <name val="Arial"/>
      <family val="2"/>
    </font>
    <font>
      <sz val="6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60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i/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9"/>
      <color indexed="55"/>
      <name val="Arial Cyr"/>
      <family val="0"/>
    </font>
    <font>
      <sz val="9"/>
      <color indexed="10"/>
      <name val="Arial Cyr"/>
      <family val="0"/>
    </font>
    <font>
      <b/>
      <sz val="10.5"/>
      <color indexed="10"/>
      <name val="Times New Roman"/>
      <family val="1"/>
    </font>
    <font>
      <sz val="10.5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60"/>
      <name val="Arial Cyr"/>
      <family val="0"/>
    </font>
    <font>
      <b/>
      <i/>
      <sz val="20"/>
      <color indexed="10"/>
      <name val="Arial Cyr"/>
      <family val="0"/>
    </font>
    <font>
      <b/>
      <sz val="12"/>
      <color indexed="10"/>
      <name val="Arial Cyr"/>
      <family val="0"/>
    </font>
    <font>
      <b/>
      <u val="single"/>
      <sz val="12"/>
      <color indexed="10"/>
      <name val="Arial Cyr"/>
      <family val="0"/>
    </font>
    <font>
      <b/>
      <i/>
      <sz val="12"/>
      <color indexed="10"/>
      <name val="Arial"/>
      <family val="2"/>
    </font>
    <font>
      <b/>
      <sz val="14"/>
      <color indexed="10"/>
      <name val="Arial Cyr"/>
      <family val="0"/>
    </font>
    <font>
      <b/>
      <sz val="11"/>
      <color indexed="10"/>
      <name val="Calibri"/>
      <family val="2"/>
    </font>
    <font>
      <sz val="6"/>
      <color indexed="10"/>
      <name val="Arial Cyr"/>
      <family val="0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0"/>
      <color rgb="FFFF0000"/>
      <name val="Arial Cyr"/>
      <family val="0"/>
    </font>
    <font>
      <b/>
      <i/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9"/>
      <color theme="0" tint="-0.24993999302387238"/>
      <name val="Arial Cyr"/>
      <family val="0"/>
    </font>
    <font>
      <sz val="9"/>
      <color rgb="FFFF0000"/>
      <name val="Arial Cyr"/>
      <family val="0"/>
    </font>
    <font>
      <b/>
      <sz val="10.5"/>
      <color rgb="FFFF0000"/>
      <name val="Times New Roman"/>
      <family val="1"/>
    </font>
    <font>
      <sz val="10.5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C00000"/>
      <name val="Arial Cyr"/>
      <family val="0"/>
    </font>
    <font>
      <b/>
      <i/>
      <sz val="20"/>
      <color rgb="FFFF0000"/>
      <name val="Arial Cyr"/>
      <family val="0"/>
    </font>
    <font>
      <b/>
      <sz val="12"/>
      <color rgb="FFFF0000"/>
      <name val="Arial Cyr"/>
      <family val="0"/>
    </font>
    <font>
      <b/>
      <u val="single"/>
      <sz val="12"/>
      <color rgb="FFFF0000"/>
      <name val="Arial Cyr"/>
      <family val="0"/>
    </font>
    <font>
      <b/>
      <i/>
      <sz val="12"/>
      <color rgb="FFFF0000"/>
      <name val="Arial"/>
      <family val="2"/>
    </font>
    <font>
      <b/>
      <sz val="14"/>
      <color rgb="FFFF0000"/>
      <name val="Arial Cyr"/>
      <family val="0"/>
    </font>
    <font>
      <b/>
      <sz val="11"/>
      <color rgb="FFFF0000"/>
      <name val="Calibri"/>
      <family val="2"/>
    </font>
    <font>
      <sz val="6"/>
      <color rgb="FFFF0000"/>
      <name val="Arial Cyr"/>
      <family val="0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 tint="-0.1499900072813034"/>
      <name val="Arial Cyr"/>
      <family val="0"/>
    </font>
    <font>
      <sz val="11"/>
      <color theme="0" tint="-0.149959996342659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9">
    <xf numFmtId="0" fontId="0" fillId="0" borderId="0" xfId="0" applyAlignment="1">
      <alignment/>
    </xf>
    <xf numFmtId="0" fontId="22" fillId="24" borderId="0" xfId="0" applyFont="1" applyFill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2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24" borderId="0" xfId="0" applyFont="1" applyFill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left" vertical="top" wrapText="1" readingOrder="1"/>
      <protection hidden="1"/>
    </xf>
    <xf numFmtId="0" fontId="25" fillId="25" borderId="0" xfId="0" applyFont="1" applyFill="1" applyBorder="1" applyAlignment="1" applyProtection="1">
      <alignment horizontal="center"/>
      <protection hidden="1" locked="0"/>
    </xf>
    <xf numFmtId="1" fontId="21" fillId="25" borderId="0" xfId="0" applyNumberFormat="1" applyFont="1" applyFill="1" applyAlignment="1" applyProtection="1">
      <alignment/>
      <protection hidden="1" locked="0"/>
    </xf>
    <xf numFmtId="0" fontId="0" fillId="25" borderId="0" xfId="0" applyFill="1" applyAlignment="1" applyProtection="1">
      <alignment/>
      <protection hidden="1"/>
    </xf>
    <xf numFmtId="0" fontId="47" fillId="25" borderId="0" xfId="0" applyFont="1" applyFill="1" applyAlignment="1" applyProtection="1">
      <alignment horizontal="right" vertical="center"/>
      <protection hidden="1"/>
    </xf>
    <xf numFmtId="0" fontId="21" fillId="25" borderId="0" xfId="0" applyFont="1" applyFill="1" applyAlignment="1" applyProtection="1">
      <alignment/>
      <protection hidden="1"/>
    </xf>
    <xf numFmtId="0" fontId="78" fillId="25" borderId="0" xfId="0" applyFont="1" applyFill="1" applyAlignment="1" applyProtection="1">
      <alignment/>
      <protection hidden="1"/>
    </xf>
    <xf numFmtId="0" fontId="22" fillId="25" borderId="0" xfId="0" applyFont="1" applyFill="1" applyAlignment="1" applyProtection="1">
      <alignment/>
      <protection hidden="1"/>
    </xf>
    <xf numFmtId="0" fontId="21" fillId="25" borderId="0" xfId="0" applyFont="1" applyFill="1" applyBorder="1" applyAlignment="1" applyProtection="1">
      <alignment/>
      <protection hidden="1"/>
    </xf>
    <xf numFmtId="0" fontId="20" fillId="25" borderId="0" xfId="0" applyFont="1" applyFill="1" applyAlignment="1" applyProtection="1">
      <alignment horizontal="right" vertical="center"/>
      <protection hidden="1"/>
    </xf>
    <xf numFmtId="0" fontId="0" fillId="25" borderId="0" xfId="0" applyFont="1" applyFill="1" applyAlignment="1" applyProtection="1">
      <alignment/>
      <protection hidden="1"/>
    </xf>
    <xf numFmtId="0" fontId="48" fillId="25" borderId="0" xfId="0" applyFont="1" applyFill="1" applyAlignment="1" applyProtection="1">
      <alignment/>
      <protection hidden="1"/>
    </xf>
    <xf numFmtId="0" fontId="23" fillId="25" borderId="0" xfId="0" applyFont="1" applyFill="1" applyBorder="1" applyAlignment="1" applyProtection="1">
      <alignment horizontal="center"/>
      <protection hidden="1" locked="0"/>
    </xf>
    <xf numFmtId="0" fontId="49" fillId="25" borderId="0" xfId="0" applyFont="1" applyFill="1" applyAlignment="1" applyProtection="1">
      <alignment horizontal="center"/>
      <protection hidden="1"/>
    </xf>
    <xf numFmtId="0" fontId="19" fillId="25" borderId="0" xfId="0" applyFont="1" applyFill="1" applyBorder="1" applyAlignment="1" applyProtection="1">
      <alignment/>
      <protection hidden="1"/>
    </xf>
    <xf numFmtId="0" fontId="0" fillId="25" borderId="0" xfId="0" applyFont="1" applyFill="1" applyBorder="1" applyAlignment="1" applyProtection="1">
      <alignment/>
      <protection hidden="1"/>
    </xf>
    <xf numFmtId="0" fontId="23" fillId="25" borderId="0" xfId="0" applyFont="1" applyFill="1" applyBorder="1" applyAlignment="1" applyProtection="1">
      <alignment/>
      <protection hidden="1"/>
    </xf>
    <xf numFmtId="0" fontId="23" fillId="25" borderId="0" xfId="0" applyFont="1" applyFill="1" applyBorder="1" applyAlignment="1" applyProtection="1">
      <alignment horizontal="center"/>
      <protection hidden="1"/>
    </xf>
    <xf numFmtId="0" fontId="24" fillId="25" borderId="10" xfId="0" applyFont="1" applyFill="1" applyBorder="1" applyAlignment="1" applyProtection="1">
      <alignment horizontal="left"/>
      <protection hidden="1"/>
    </xf>
    <xf numFmtId="0" fontId="78" fillId="25" borderId="0" xfId="0" applyFont="1" applyFill="1" applyBorder="1" applyAlignment="1" applyProtection="1">
      <alignment/>
      <protection hidden="1"/>
    </xf>
    <xf numFmtId="0" fontId="24" fillId="25" borderId="0" xfId="0" applyFont="1" applyFill="1" applyBorder="1" applyAlignment="1" applyProtection="1">
      <alignment horizontal="center"/>
      <protection hidden="1"/>
    </xf>
    <xf numFmtId="0" fontId="0" fillId="25" borderId="0" xfId="0" applyFont="1" applyFill="1" applyAlignment="1" applyProtection="1">
      <alignment/>
      <protection hidden="1"/>
    </xf>
    <xf numFmtId="1" fontId="79" fillId="25" borderId="0" xfId="0" applyNumberFormat="1" applyFont="1" applyFill="1" applyBorder="1" applyAlignment="1" applyProtection="1">
      <alignment horizontal="left"/>
      <protection hidden="1"/>
    </xf>
    <xf numFmtId="0" fontId="24" fillId="25" borderId="11" xfId="0" applyFont="1" applyFill="1" applyBorder="1" applyAlignment="1" applyProtection="1">
      <alignment/>
      <protection hidden="1"/>
    </xf>
    <xf numFmtId="0" fontId="21" fillId="25" borderId="12" xfId="0" applyFont="1" applyFill="1" applyBorder="1" applyAlignment="1" applyProtection="1">
      <alignment/>
      <protection hidden="1"/>
    </xf>
    <xf numFmtId="0" fontId="0" fillId="25" borderId="0" xfId="0" applyFont="1" applyFill="1" applyAlignment="1" applyProtection="1">
      <alignment/>
      <protection hidden="1"/>
    </xf>
    <xf numFmtId="0" fontId="25" fillId="25" borderId="0" xfId="0" applyFont="1" applyFill="1" applyBorder="1" applyAlignment="1" applyProtection="1">
      <alignment horizontal="center"/>
      <protection hidden="1"/>
    </xf>
    <xf numFmtId="0" fontId="24" fillId="25" borderId="0" xfId="0" applyFont="1" applyFill="1" applyBorder="1" applyAlignment="1" applyProtection="1">
      <alignment vertical="center"/>
      <protection hidden="1"/>
    </xf>
    <xf numFmtId="0" fontId="25" fillId="25" borderId="13" xfId="0" applyFont="1" applyFill="1" applyBorder="1" applyAlignment="1" applyProtection="1">
      <alignment horizontal="center"/>
      <protection hidden="1" locked="0"/>
    </xf>
    <xf numFmtId="0" fontId="0" fillId="25" borderId="0" xfId="0" applyFont="1" applyFill="1" applyBorder="1" applyAlignment="1" applyProtection="1">
      <alignment/>
      <protection hidden="1"/>
    </xf>
    <xf numFmtId="0" fontId="24" fillId="25" borderId="14" xfId="0" applyFont="1" applyFill="1" applyBorder="1" applyAlignment="1" applyProtection="1">
      <alignment/>
      <protection hidden="1"/>
    </xf>
    <xf numFmtId="0" fontId="21" fillId="25" borderId="14" xfId="0" applyFont="1" applyFill="1" applyBorder="1" applyAlignment="1" applyProtection="1">
      <alignment/>
      <protection hidden="1"/>
    </xf>
    <xf numFmtId="0" fontId="21" fillId="25" borderId="15" xfId="0" applyFont="1" applyFill="1" applyBorder="1" applyAlignment="1" applyProtection="1">
      <alignment/>
      <protection hidden="1"/>
    </xf>
    <xf numFmtId="0" fontId="25" fillId="25" borderId="0" xfId="0" applyFont="1" applyFill="1" applyBorder="1" applyAlignment="1" applyProtection="1">
      <alignment/>
      <protection hidden="1"/>
    </xf>
    <xf numFmtId="0" fontId="38" fillId="25" borderId="0" xfId="0" applyFont="1" applyFill="1" applyBorder="1" applyAlignment="1" applyProtection="1">
      <alignment/>
      <protection hidden="1" locked="0"/>
    </xf>
    <xf numFmtId="0" fontId="50" fillId="25" borderId="0" xfId="0" applyFont="1" applyFill="1" applyAlignment="1" applyProtection="1">
      <alignment/>
      <protection hidden="1"/>
    </xf>
    <xf numFmtId="0" fontId="24" fillId="25" borderId="0" xfId="0" applyFont="1" applyFill="1" applyBorder="1" applyAlignment="1" applyProtection="1">
      <alignment horizontal="left"/>
      <protection hidden="1"/>
    </xf>
    <xf numFmtId="0" fontId="38" fillId="25" borderId="0" xfId="0" applyFont="1" applyFill="1" applyBorder="1" applyAlignment="1" applyProtection="1">
      <alignment horizontal="center"/>
      <protection hidden="1" locked="0"/>
    </xf>
    <xf numFmtId="0" fontId="27" fillId="25" borderId="0" xfId="0" applyFont="1" applyFill="1" applyAlignment="1" applyProtection="1">
      <alignment/>
      <protection hidden="1"/>
    </xf>
    <xf numFmtId="0" fontId="0" fillId="25" borderId="0" xfId="0" applyFont="1" applyFill="1" applyAlignment="1" applyProtection="1">
      <alignment/>
      <protection hidden="1"/>
    </xf>
    <xf numFmtId="4" fontId="21" fillId="25" borderId="0" xfId="0" applyNumberFormat="1" applyFont="1" applyFill="1" applyAlignment="1" applyProtection="1">
      <alignment/>
      <protection hidden="1"/>
    </xf>
    <xf numFmtId="4" fontId="0" fillId="25" borderId="0" xfId="0" applyNumberFormat="1" applyFont="1" applyFill="1" applyAlignment="1" applyProtection="1">
      <alignment/>
      <protection hidden="1"/>
    </xf>
    <xf numFmtId="0" fontId="24" fillId="25" borderId="16" xfId="0" applyFont="1" applyFill="1" applyBorder="1" applyAlignment="1" applyProtection="1">
      <alignment vertical="center"/>
      <protection hidden="1"/>
    </xf>
    <xf numFmtId="0" fontId="24" fillId="25" borderId="17" xfId="0" applyFont="1" applyFill="1" applyBorder="1" applyAlignment="1" applyProtection="1">
      <alignment vertical="center"/>
      <protection hidden="1"/>
    </xf>
    <xf numFmtId="4" fontId="24" fillId="25" borderId="0" xfId="0" applyNumberFormat="1" applyFont="1" applyFill="1" applyBorder="1" applyAlignment="1" applyProtection="1">
      <alignment horizontal="center"/>
      <protection hidden="1"/>
    </xf>
    <xf numFmtId="0" fontId="24" fillId="25" borderId="14" xfId="0" applyFont="1" applyFill="1" applyBorder="1" applyAlignment="1" applyProtection="1">
      <alignment horizontal="center" vertical="center" wrapText="1"/>
      <protection hidden="1"/>
    </xf>
    <xf numFmtId="0" fontId="80" fillId="25" borderId="0" xfId="0" applyFont="1" applyFill="1" applyBorder="1" applyAlignment="1" applyProtection="1">
      <alignment horizontal="center" vertical="center" wrapText="1"/>
      <protection hidden="1"/>
    </xf>
    <xf numFmtId="3" fontId="46" fillId="25" borderId="0" xfId="0" applyNumberFormat="1" applyFont="1" applyFill="1" applyBorder="1" applyAlignment="1" applyProtection="1">
      <alignment horizontal="center"/>
      <protection hidden="1"/>
    </xf>
    <xf numFmtId="4" fontId="78" fillId="25" borderId="0" xfId="0" applyNumberFormat="1" applyFont="1" applyFill="1" applyAlignment="1" applyProtection="1">
      <alignment/>
      <protection hidden="1"/>
    </xf>
    <xf numFmtId="1" fontId="78" fillId="25" borderId="0" xfId="0" applyNumberFormat="1" applyFont="1" applyFill="1" applyAlignment="1" applyProtection="1">
      <alignment/>
      <protection hidden="1"/>
    </xf>
    <xf numFmtId="0" fontId="19" fillId="25" borderId="0" xfId="0" applyFont="1" applyFill="1" applyAlignment="1" applyProtection="1">
      <alignment/>
      <protection hidden="1"/>
    </xf>
    <xf numFmtId="0" fontId="28" fillId="25" borderId="0" xfId="0" applyFont="1" applyFill="1" applyAlignment="1" applyProtection="1">
      <alignment/>
      <protection hidden="1"/>
    </xf>
    <xf numFmtId="3" fontId="28" fillId="25" borderId="0" xfId="0" applyNumberFormat="1" applyFont="1" applyFill="1" applyBorder="1" applyAlignment="1">
      <alignment horizontal="center" wrapText="1"/>
    </xf>
    <xf numFmtId="3" fontId="81" fillId="25" borderId="0" xfId="0" applyNumberFormat="1" applyFont="1" applyFill="1" applyBorder="1" applyAlignment="1">
      <alignment horizontal="center" wrapText="1"/>
    </xf>
    <xf numFmtId="4" fontId="82" fillId="25" borderId="0" xfId="0" applyNumberFormat="1" applyFont="1" applyFill="1" applyAlignment="1" applyProtection="1">
      <alignment/>
      <protection hidden="1"/>
    </xf>
    <xf numFmtId="0" fontId="82" fillId="25" borderId="0" xfId="0" applyFont="1" applyFill="1" applyAlignment="1" applyProtection="1">
      <alignment/>
      <protection hidden="1"/>
    </xf>
    <xf numFmtId="0" fontId="21" fillId="25" borderId="0" xfId="0" applyFont="1" applyFill="1" applyBorder="1" applyAlignment="1" applyProtection="1">
      <alignment wrapText="1"/>
      <protection hidden="1"/>
    </xf>
    <xf numFmtId="0" fontId="21" fillId="25" borderId="0" xfId="0" applyFont="1" applyFill="1" applyAlignment="1" applyProtection="1">
      <alignment wrapText="1"/>
      <protection hidden="1"/>
    </xf>
    <xf numFmtId="0" fontId="0" fillId="25" borderId="0" xfId="0" applyFill="1" applyBorder="1" applyAlignment="1" applyProtection="1">
      <alignment wrapText="1"/>
      <protection hidden="1"/>
    </xf>
    <xf numFmtId="0" fontId="0" fillId="25" borderId="0" xfId="0" applyFont="1" applyFill="1" applyBorder="1" applyAlignment="1" applyProtection="1">
      <alignment wrapText="1"/>
      <protection hidden="1"/>
    </xf>
    <xf numFmtId="0" fontId="0" fillId="25" borderId="0" xfId="0" applyFont="1" applyFill="1" applyBorder="1" applyAlignment="1" applyProtection="1">
      <alignment horizontal="justify" wrapText="1"/>
      <protection hidden="1"/>
    </xf>
    <xf numFmtId="0" fontId="0" fillId="25" borderId="0" xfId="0" applyFill="1" applyAlignment="1" applyProtection="1">
      <alignment horizontal="right"/>
      <protection hidden="1"/>
    </xf>
    <xf numFmtId="0" fontId="0" fillId="25" borderId="0" xfId="0" applyFont="1" applyFill="1" applyAlignment="1" applyProtection="1">
      <alignment horizontal="right"/>
      <protection hidden="1"/>
    </xf>
    <xf numFmtId="0" fontId="21" fillId="25" borderId="0" xfId="0" applyFont="1" applyFill="1" applyAlignment="1" applyProtection="1">
      <alignment horizontal="right"/>
      <protection hidden="1"/>
    </xf>
    <xf numFmtId="0" fontId="0" fillId="25" borderId="0" xfId="0" applyFill="1" applyBorder="1" applyAlignment="1" applyProtection="1">
      <alignment/>
      <protection hidden="1"/>
    </xf>
    <xf numFmtId="0" fontId="0" fillId="25" borderId="0" xfId="0" applyFont="1" applyFill="1" applyBorder="1" applyAlignment="1" applyProtection="1">
      <alignment/>
      <protection hidden="1"/>
    </xf>
    <xf numFmtId="0" fontId="21" fillId="25" borderId="0" xfId="0" applyFont="1" applyFill="1" applyBorder="1" applyAlignment="1" applyProtection="1">
      <alignment/>
      <protection hidden="1"/>
    </xf>
    <xf numFmtId="0" fontId="21" fillId="25" borderId="0" xfId="0" applyFont="1" applyFill="1" applyBorder="1" applyAlignment="1" applyProtection="1">
      <alignment horizontal="right"/>
      <protection hidden="1"/>
    </xf>
    <xf numFmtId="0" fontId="78" fillId="25" borderId="0" xfId="0" applyFont="1" applyFill="1" applyBorder="1" applyAlignment="1" applyProtection="1">
      <alignment/>
      <protection hidden="1"/>
    </xf>
    <xf numFmtId="0" fontId="21" fillId="25" borderId="0" xfId="0" applyFont="1" applyFill="1" applyAlignment="1" applyProtection="1">
      <alignment horizontal="right" vertical="top" wrapText="1" readingOrder="1"/>
      <protection hidden="1"/>
    </xf>
    <xf numFmtId="0" fontId="51" fillId="25" borderId="0" xfId="0" applyNumberFormat="1" applyFont="1" applyFill="1" applyAlignment="1" applyProtection="1">
      <alignment horizontal="justify" vertical="center" wrapText="1" readingOrder="1"/>
      <protection hidden="1"/>
    </xf>
    <xf numFmtId="0" fontId="21" fillId="25" borderId="0" xfId="0" applyFont="1" applyFill="1" applyAlignment="1" applyProtection="1">
      <alignment horizontal="left" vertical="top" wrapText="1" readingOrder="1"/>
      <protection hidden="1"/>
    </xf>
    <xf numFmtId="49" fontId="83" fillId="25" borderId="0" xfId="0" applyNumberFormat="1" applyFont="1" applyFill="1" applyBorder="1" applyAlignment="1" applyProtection="1">
      <alignment horizontal="left" vertical="top" wrapText="1" readingOrder="1"/>
      <protection hidden="1"/>
    </xf>
    <xf numFmtId="0" fontId="78" fillId="25" borderId="0" xfId="0" applyFont="1" applyFill="1" applyAlignment="1" applyProtection="1">
      <alignment horizontal="left" vertical="top" wrapText="1" readingOrder="1"/>
      <protection hidden="1"/>
    </xf>
    <xf numFmtId="49" fontId="84" fillId="25" borderId="0" xfId="0" applyNumberFormat="1" applyFont="1" applyFill="1" applyBorder="1" applyAlignment="1" applyProtection="1">
      <alignment horizontal="left" vertical="top" wrapText="1" readingOrder="1"/>
      <protection hidden="1"/>
    </xf>
    <xf numFmtId="0" fontId="85" fillId="25" borderId="0" xfId="0" applyFont="1" applyFill="1" applyBorder="1" applyAlignment="1" applyProtection="1">
      <alignment horizontal="left" vertical="top" wrapText="1" readingOrder="1"/>
      <protection hidden="1"/>
    </xf>
    <xf numFmtId="0" fontId="86" fillId="25" borderId="0" xfId="0" applyFont="1" applyFill="1" applyAlignment="1">
      <alignment horizontal="justify"/>
    </xf>
    <xf numFmtId="49" fontId="52" fillId="25" borderId="18" xfId="0" applyNumberFormat="1" applyFont="1" applyFill="1" applyBorder="1" applyAlignment="1">
      <alignment horizontal="left" vertical="center" wrapText="1"/>
    </xf>
    <xf numFmtId="0" fontId="52" fillId="25" borderId="18" xfId="0" applyFont="1" applyFill="1" applyBorder="1" applyAlignment="1">
      <alignment horizontal="left" vertical="center" wrapText="1"/>
    </xf>
    <xf numFmtId="0" fontId="52" fillId="25" borderId="0" xfId="0" applyFont="1" applyFill="1" applyAlignment="1">
      <alignment horizontal="justify" vertical="center" wrapText="1"/>
    </xf>
    <xf numFmtId="0" fontId="42" fillId="25" borderId="0" xfId="0" applyFont="1" applyFill="1" applyAlignment="1">
      <alignment/>
    </xf>
    <xf numFmtId="0" fontId="39" fillId="25" borderId="0" xfId="0" applyFont="1" applyFill="1" applyAlignment="1">
      <alignment horizontal="center"/>
    </xf>
    <xf numFmtId="0" fontId="40" fillId="25" borderId="0" xfId="0" applyFont="1" applyFill="1" applyAlignment="1">
      <alignment/>
    </xf>
    <xf numFmtId="0" fontId="45" fillId="25" borderId="0" xfId="0" applyFont="1" applyFill="1" applyAlignment="1">
      <alignment/>
    </xf>
    <xf numFmtId="0" fontId="44" fillId="25" borderId="0" xfId="0" applyFont="1" applyFill="1" applyAlignment="1">
      <alignment vertical="center" wrapText="1"/>
    </xf>
    <xf numFmtId="0" fontId="53" fillId="25" borderId="0" xfId="0" applyFont="1" applyFill="1" applyAlignment="1">
      <alignment vertical="center" wrapText="1"/>
    </xf>
    <xf numFmtId="0" fontId="33" fillId="25" borderId="0" xfId="0" applyFont="1" applyFill="1" applyAlignment="1">
      <alignment/>
    </xf>
    <xf numFmtId="0" fontId="41" fillId="25" borderId="0" xfId="0" applyFont="1" applyFill="1" applyAlignment="1">
      <alignment horizontal="center"/>
    </xf>
    <xf numFmtId="180" fontId="39" fillId="25" borderId="0" xfId="0" applyNumberFormat="1" applyFont="1" applyFill="1" applyAlignment="1" applyProtection="1">
      <alignment horizontal="center"/>
      <protection hidden="1"/>
    </xf>
    <xf numFmtId="0" fontId="40" fillId="25" borderId="0" xfId="0" applyFont="1" applyFill="1" applyAlignment="1">
      <alignment horizontal="left" vertical="top"/>
    </xf>
    <xf numFmtId="0" fontId="41" fillId="25" borderId="0" xfId="0" applyFont="1" applyFill="1" applyAlignment="1">
      <alignment horizontal="center" vertical="center"/>
    </xf>
    <xf numFmtId="0" fontId="40" fillId="25" borderId="0" xfId="0" applyFont="1" applyFill="1" applyAlignment="1">
      <alignment/>
    </xf>
    <xf numFmtId="0" fontId="45" fillId="25" borderId="0" xfId="0" applyFont="1" applyFill="1" applyAlignment="1">
      <alignment/>
    </xf>
    <xf numFmtId="0" fontId="40" fillId="25" borderId="0" xfId="0" applyFont="1" applyFill="1" applyAlignment="1">
      <alignment wrapText="1"/>
    </xf>
    <xf numFmtId="0" fontId="54" fillId="25" borderId="0" xfId="0" applyFont="1" applyFill="1" applyAlignment="1">
      <alignment wrapText="1"/>
    </xf>
    <xf numFmtId="0" fontId="43" fillId="25" borderId="0" xfId="0" applyFont="1" applyFill="1" applyAlignment="1">
      <alignment horizontal="center"/>
    </xf>
    <xf numFmtId="0" fontId="55" fillId="25" borderId="0" xfId="0" applyFont="1" applyFill="1" applyAlignment="1">
      <alignment/>
    </xf>
    <xf numFmtId="0" fontId="56" fillId="25" borderId="0" xfId="0" applyFont="1" applyFill="1" applyAlignment="1">
      <alignment horizontal="center"/>
    </xf>
    <xf numFmtId="0" fontId="57" fillId="25" borderId="0" xfId="0" applyFont="1" applyFill="1" applyAlignment="1">
      <alignment/>
    </xf>
    <xf numFmtId="0" fontId="0" fillId="25" borderId="0" xfId="0" applyFont="1" applyFill="1" applyAlignment="1" applyProtection="1">
      <alignment/>
      <protection hidden="1"/>
    </xf>
    <xf numFmtId="3" fontId="0" fillId="25" borderId="0" xfId="0" applyNumberFormat="1" applyFont="1" applyFill="1" applyBorder="1" applyAlignment="1" applyProtection="1">
      <alignment horizontal="center"/>
      <protection hidden="1"/>
    </xf>
    <xf numFmtId="3" fontId="22" fillId="25" borderId="0" xfId="0" applyNumberFormat="1" applyFont="1" applyFill="1" applyBorder="1" applyAlignment="1" applyProtection="1">
      <alignment horizontal="center"/>
      <protection hidden="1"/>
    </xf>
    <xf numFmtId="0" fontId="24" fillId="25" borderId="0" xfId="0" applyFont="1" applyFill="1" applyBorder="1" applyAlignment="1" applyProtection="1">
      <alignment horizontal="center"/>
      <protection hidden="1"/>
    </xf>
    <xf numFmtId="0" fontId="87" fillId="25" borderId="0" xfId="0" applyFont="1" applyFill="1" applyBorder="1" applyAlignment="1" applyProtection="1">
      <alignment wrapText="1"/>
      <protection hidden="1"/>
    </xf>
    <xf numFmtId="0" fontId="24" fillId="25" borderId="12" xfId="0" applyFont="1" applyFill="1" applyBorder="1" applyAlignment="1" applyProtection="1">
      <alignment wrapText="1"/>
      <protection hidden="1"/>
    </xf>
    <xf numFmtId="180" fontId="39" fillId="25" borderId="0" xfId="0" applyNumberFormat="1" applyFont="1" applyFill="1" applyAlignment="1" applyProtection="1">
      <alignment horizontal="right"/>
      <protection hidden="1"/>
    </xf>
    <xf numFmtId="0" fontId="88" fillId="25" borderId="0" xfId="0" applyFont="1" applyFill="1" applyAlignment="1" applyProtection="1">
      <alignment horizontal="right" vertical="center"/>
      <protection hidden="1"/>
    </xf>
    <xf numFmtId="0" fontId="89" fillId="25" borderId="0" xfId="0" applyFont="1" applyFill="1" applyBorder="1" applyAlignment="1" applyProtection="1">
      <alignment horizontal="center" vertical="center"/>
      <protection hidden="1"/>
    </xf>
    <xf numFmtId="0" fontId="88" fillId="25" borderId="0" xfId="0" applyFont="1" applyFill="1" applyBorder="1" applyAlignment="1" applyProtection="1">
      <alignment horizontal="left" vertical="center"/>
      <protection hidden="1"/>
    </xf>
    <xf numFmtId="0" fontId="88" fillId="25" borderId="0" xfId="0" applyFont="1" applyFill="1" applyAlignment="1" applyProtection="1">
      <alignment horizontal="left" vertical="center"/>
      <protection hidden="1"/>
    </xf>
    <xf numFmtId="0" fontId="90" fillId="25" borderId="0" xfId="0" applyFont="1" applyFill="1" applyAlignment="1" applyProtection="1">
      <alignment/>
      <protection hidden="1"/>
    </xf>
    <xf numFmtId="0" fontId="91" fillId="25" borderId="0" xfId="0" applyFont="1" applyFill="1" applyAlignment="1" applyProtection="1">
      <alignment horizontal="center"/>
      <protection hidden="1"/>
    </xf>
    <xf numFmtId="0" fontId="91" fillId="25" borderId="0" xfId="0" applyFont="1" applyFill="1" applyAlignment="1" applyProtection="1">
      <alignment/>
      <protection hidden="1"/>
    </xf>
    <xf numFmtId="0" fontId="89" fillId="25" borderId="0" xfId="0" applyFont="1" applyFill="1" applyAlignment="1" applyProtection="1">
      <alignment horizontal="center"/>
      <protection hidden="1"/>
    </xf>
    <xf numFmtId="0" fontId="92" fillId="25" borderId="0" xfId="0" applyFont="1" applyFill="1" applyBorder="1" applyAlignment="1" applyProtection="1">
      <alignment/>
      <protection hidden="1"/>
    </xf>
    <xf numFmtId="0" fontId="80" fillId="25" borderId="10" xfId="0" applyFont="1" applyFill="1" applyBorder="1" applyAlignment="1" applyProtection="1">
      <alignment horizontal="left"/>
      <protection hidden="1"/>
    </xf>
    <xf numFmtId="3" fontId="78" fillId="26" borderId="19" xfId="0" applyNumberFormat="1" applyFont="1" applyFill="1" applyBorder="1" applyAlignment="1" applyProtection="1">
      <alignment horizontal="center"/>
      <protection hidden="1"/>
    </xf>
    <xf numFmtId="3" fontId="78" fillId="26" borderId="0" xfId="0" applyNumberFormat="1" applyFont="1" applyFill="1" applyBorder="1" applyAlignment="1" applyProtection="1">
      <alignment horizontal="center"/>
      <protection hidden="1"/>
    </xf>
    <xf numFmtId="3" fontId="78" fillId="25" borderId="0" xfId="0" applyNumberFormat="1" applyFont="1" applyFill="1" applyBorder="1" applyAlignment="1" applyProtection="1">
      <alignment horizontal="center"/>
      <protection hidden="1"/>
    </xf>
    <xf numFmtId="0" fontId="80" fillId="25" borderId="0" xfId="0" applyFont="1" applyFill="1" applyBorder="1" applyAlignment="1" applyProtection="1">
      <alignment vertical="center"/>
      <protection hidden="1"/>
    </xf>
    <xf numFmtId="0" fontId="78" fillId="25" borderId="0" xfId="0" applyFont="1" applyFill="1" applyBorder="1" applyAlignment="1" applyProtection="1">
      <alignment horizontal="left" wrapText="1"/>
      <protection hidden="1"/>
    </xf>
    <xf numFmtId="1" fontId="78" fillId="25" borderId="0" xfId="0" applyNumberFormat="1" applyFont="1" applyFill="1" applyBorder="1" applyAlignment="1" applyProtection="1">
      <alignment/>
      <protection hidden="1"/>
    </xf>
    <xf numFmtId="0" fontId="93" fillId="25" borderId="0" xfId="0" applyFont="1" applyFill="1" applyBorder="1" applyAlignment="1" applyProtection="1">
      <alignment/>
      <protection hidden="1" locked="0"/>
    </xf>
    <xf numFmtId="0" fontId="94" fillId="25" borderId="0" xfId="0" applyFont="1" applyFill="1" applyAlignment="1" applyProtection="1">
      <alignment/>
      <protection hidden="1"/>
    </xf>
    <xf numFmtId="4" fontId="80" fillId="25" borderId="0" xfId="0" applyNumberFormat="1" applyFont="1" applyFill="1" applyBorder="1" applyAlignment="1" applyProtection="1">
      <alignment horizontal="center"/>
      <protection hidden="1"/>
    </xf>
    <xf numFmtId="3" fontId="95" fillId="25" borderId="0" xfId="0" applyNumberFormat="1" applyFont="1" applyFill="1" applyBorder="1" applyAlignment="1" applyProtection="1">
      <alignment horizontal="center"/>
      <protection hidden="1"/>
    </xf>
    <xf numFmtId="3" fontId="82" fillId="25" borderId="0" xfId="0" applyNumberFormat="1" applyFont="1" applyFill="1" applyBorder="1" applyAlignment="1">
      <alignment horizontal="center" wrapText="1"/>
    </xf>
    <xf numFmtId="0" fontId="82" fillId="25" borderId="0" xfId="0" applyFont="1" applyFill="1" applyBorder="1" applyAlignment="1" applyProtection="1">
      <alignment/>
      <protection hidden="1"/>
    </xf>
    <xf numFmtId="0" fontId="78" fillId="25" borderId="0" xfId="0" applyFont="1" applyFill="1" applyAlignment="1" applyProtection="1">
      <alignment wrapText="1"/>
      <protection hidden="1"/>
    </xf>
    <xf numFmtId="0" fontId="78" fillId="25" borderId="0" xfId="0" applyFont="1" applyFill="1" applyBorder="1" applyAlignment="1" applyProtection="1">
      <alignment wrapText="1"/>
      <protection hidden="1"/>
    </xf>
    <xf numFmtId="0" fontId="78" fillId="25" borderId="0" xfId="0" applyFont="1" applyFill="1" applyBorder="1" applyAlignment="1" applyProtection="1">
      <alignment horizontal="justify" wrapText="1"/>
      <protection hidden="1"/>
    </xf>
    <xf numFmtId="0" fontId="78" fillId="25" borderId="0" xfId="0" applyFont="1" applyFill="1" applyAlignment="1" applyProtection="1">
      <alignment horizontal="right"/>
      <protection hidden="1"/>
    </xf>
    <xf numFmtId="0" fontId="96" fillId="25" borderId="0" xfId="0" applyFont="1" applyFill="1" applyAlignment="1" applyProtection="1">
      <alignment horizontal="left"/>
      <protection locked="0"/>
    </xf>
    <xf numFmtId="0" fontId="86" fillId="25" borderId="0" xfId="0" applyNumberFormat="1" applyFont="1" applyFill="1" applyAlignment="1" applyProtection="1">
      <alignment horizontal="justify" vertical="center" wrapText="1" readingOrder="1"/>
      <protection hidden="1"/>
    </xf>
    <xf numFmtId="49" fontId="97" fillId="25" borderId="18" xfId="0" applyNumberFormat="1" applyFont="1" applyFill="1" applyBorder="1" applyAlignment="1">
      <alignment horizontal="left" vertical="center" wrapText="1"/>
    </xf>
    <xf numFmtId="0" fontId="97" fillId="25" borderId="18" xfId="0" applyFont="1" applyFill="1" applyBorder="1" applyAlignment="1">
      <alignment horizontal="left" vertical="center" wrapText="1"/>
    </xf>
    <xf numFmtId="0" fontId="97" fillId="25" borderId="0" xfId="0" applyFont="1" applyFill="1" applyAlignment="1">
      <alignment horizontal="justify" vertical="center" wrapText="1"/>
    </xf>
    <xf numFmtId="0" fontId="85" fillId="25" borderId="0" xfId="0" applyFont="1" applyFill="1" applyAlignment="1" applyProtection="1">
      <alignment horizontal="left" vertical="top" wrapText="1"/>
      <protection hidden="1"/>
    </xf>
    <xf numFmtId="0" fontId="98" fillId="25" borderId="0" xfId="0" applyFont="1" applyFill="1" applyAlignment="1">
      <alignment vertical="center" wrapText="1"/>
    </xf>
    <xf numFmtId="0" fontId="99" fillId="25" borderId="0" xfId="0" applyFont="1" applyFill="1" applyAlignment="1">
      <alignment wrapText="1"/>
    </xf>
    <xf numFmtId="3" fontId="100" fillId="25" borderId="0" xfId="0" applyNumberFormat="1" applyFont="1" applyFill="1" applyBorder="1" applyAlignment="1" applyProtection="1">
      <alignment horizontal="center"/>
      <protection hidden="1"/>
    </xf>
    <xf numFmtId="4" fontId="46" fillId="25" borderId="0" xfId="0" applyNumberFormat="1" applyFont="1" applyFill="1" applyBorder="1" applyAlignment="1" applyProtection="1">
      <alignment horizontal="center"/>
      <protection hidden="1"/>
    </xf>
    <xf numFmtId="4" fontId="100" fillId="25" borderId="0" xfId="0" applyNumberFormat="1" applyFont="1" applyFill="1" applyBorder="1" applyAlignment="1" applyProtection="1">
      <alignment horizontal="center"/>
      <protection hidden="1"/>
    </xf>
    <xf numFmtId="4" fontId="101" fillId="25" borderId="0" xfId="0" applyNumberFormat="1" applyFont="1" applyFill="1" applyBorder="1" applyAlignment="1" applyProtection="1">
      <alignment horizontal="center"/>
      <protection hidden="1"/>
    </xf>
    <xf numFmtId="181" fontId="78" fillId="25" borderId="0" xfId="0" applyNumberFormat="1" applyFont="1" applyFill="1" applyAlignment="1" applyProtection="1">
      <alignment/>
      <protection hidden="1"/>
    </xf>
    <xf numFmtId="0" fontId="24" fillId="25" borderId="20" xfId="0" applyFont="1" applyFill="1" applyBorder="1" applyAlignment="1" applyProtection="1">
      <alignment horizontal="center"/>
      <protection hidden="1"/>
    </xf>
    <xf numFmtId="0" fontId="24" fillId="25" borderId="21" xfId="0" applyFont="1" applyFill="1" applyBorder="1" applyAlignment="1" applyProtection="1">
      <alignment horizontal="center"/>
      <protection hidden="1"/>
    </xf>
    <xf numFmtId="0" fontId="24" fillId="25" borderId="22" xfId="0" applyFont="1" applyFill="1" applyBorder="1" applyAlignment="1" applyProtection="1">
      <alignment horizontal="left" wrapText="1"/>
      <protection hidden="1"/>
    </xf>
    <xf numFmtId="0" fontId="24" fillId="25" borderId="23" xfId="0" applyFont="1" applyFill="1" applyBorder="1" applyAlignment="1" applyProtection="1">
      <alignment horizontal="left" wrapText="1"/>
      <protection hidden="1"/>
    </xf>
    <xf numFmtId="0" fontId="24" fillId="25" borderId="24" xfId="0" applyFont="1" applyFill="1" applyBorder="1" applyAlignment="1" applyProtection="1">
      <alignment horizontal="left" wrapText="1"/>
      <protection hidden="1"/>
    </xf>
    <xf numFmtId="0" fontId="24" fillId="25" borderId="12" xfId="0" applyFont="1" applyFill="1" applyBorder="1" applyAlignment="1" applyProtection="1">
      <alignment horizontal="left" wrapText="1"/>
      <protection hidden="1"/>
    </xf>
    <xf numFmtId="0" fontId="24" fillId="25" borderId="25" xfId="0" applyFont="1" applyFill="1" applyBorder="1" applyAlignment="1" applyProtection="1">
      <alignment horizontal="center"/>
      <protection hidden="1"/>
    </xf>
    <xf numFmtId="0" fontId="24" fillId="25" borderId="18" xfId="0" applyFont="1" applyFill="1" applyBorder="1" applyAlignment="1" applyProtection="1">
      <alignment horizontal="center"/>
      <protection hidden="1"/>
    </xf>
    <xf numFmtId="0" fontId="24" fillId="25" borderId="23" xfId="0" applyFont="1" applyFill="1" applyBorder="1" applyAlignment="1" applyProtection="1">
      <alignment horizontal="center"/>
      <protection hidden="1"/>
    </xf>
    <xf numFmtId="0" fontId="24" fillId="25" borderId="26" xfId="0" applyFont="1" applyFill="1" applyBorder="1" applyAlignment="1" applyProtection="1">
      <alignment horizontal="center"/>
      <protection hidden="1"/>
    </xf>
    <xf numFmtId="0" fontId="24" fillId="25" borderId="0" xfId="0" applyFont="1" applyFill="1" applyBorder="1" applyAlignment="1" applyProtection="1">
      <alignment horizontal="center"/>
      <protection hidden="1"/>
    </xf>
    <xf numFmtId="0" fontId="24" fillId="25" borderId="12" xfId="0" applyFont="1" applyFill="1" applyBorder="1" applyAlignment="1" applyProtection="1">
      <alignment horizontal="center"/>
      <protection hidden="1"/>
    </xf>
    <xf numFmtId="4" fontId="26" fillId="25" borderId="27" xfId="0" applyNumberFormat="1" applyFont="1" applyFill="1" applyBorder="1" applyAlignment="1" applyProtection="1">
      <alignment horizontal="center"/>
      <protection hidden="1" locked="0"/>
    </xf>
    <xf numFmtId="4" fontId="26" fillId="25" borderId="14" xfId="0" applyNumberFormat="1" applyFont="1" applyFill="1" applyBorder="1" applyAlignment="1" applyProtection="1">
      <alignment horizontal="center"/>
      <protection hidden="1" locked="0"/>
    </xf>
    <xf numFmtId="14" fontId="46" fillId="25" borderId="0" xfId="0" applyNumberFormat="1" applyFont="1" applyFill="1" applyBorder="1" applyAlignment="1" applyProtection="1">
      <alignment horizontal="center"/>
      <protection hidden="1"/>
    </xf>
    <xf numFmtId="0" fontId="46" fillId="25" borderId="0" xfId="0" applyFont="1" applyFill="1" applyBorder="1" applyAlignment="1" applyProtection="1">
      <alignment horizontal="center"/>
      <protection hidden="1"/>
    </xf>
    <xf numFmtId="3" fontId="46" fillId="25" borderId="0" xfId="0" applyNumberFormat="1" applyFont="1" applyFill="1" applyBorder="1" applyAlignment="1" applyProtection="1">
      <alignment horizontal="center"/>
      <protection hidden="1"/>
    </xf>
    <xf numFmtId="0" fontId="24" fillId="25" borderId="28" xfId="0" applyFont="1" applyFill="1" applyBorder="1" applyAlignment="1" applyProtection="1">
      <alignment horizontal="left" wrapText="1"/>
      <protection hidden="1"/>
    </xf>
    <xf numFmtId="0" fontId="24" fillId="25" borderId="29" xfId="0" applyFont="1" applyFill="1" applyBorder="1" applyAlignment="1" applyProtection="1">
      <alignment horizontal="left" wrapText="1"/>
      <protection hidden="1"/>
    </xf>
    <xf numFmtId="4" fontId="26" fillId="25" borderId="30" xfId="0" applyNumberFormat="1" applyFont="1" applyFill="1" applyBorder="1" applyAlignment="1" applyProtection="1">
      <alignment horizontal="center"/>
      <protection hidden="1" locked="0"/>
    </xf>
    <xf numFmtId="4" fontId="26" fillId="25" borderId="31" xfId="0" applyNumberFormat="1" applyFont="1" applyFill="1" applyBorder="1" applyAlignment="1" applyProtection="1">
      <alignment horizontal="center"/>
      <protection hidden="1" locked="0"/>
    </xf>
    <xf numFmtId="0" fontId="32" fillId="25" borderId="0" xfId="0" applyFont="1" applyFill="1" applyAlignment="1">
      <alignment horizontal="justify" vertical="center" wrapText="1"/>
    </xf>
    <xf numFmtId="0" fontId="31" fillId="25" borderId="0" xfId="0" applyFont="1" applyFill="1" applyAlignment="1">
      <alignment horizontal="left" vertical="center" wrapText="1"/>
    </xf>
    <xf numFmtId="0" fontId="33" fillId="25" borderId="0" xfId="0" applyFont="1" applyFill="1" applyAlignment="1">
      <alignment horizontal="justify" vertical="center" wrapText="1"/>
    </xf>
    <xf numFmtId="0" fontId="32" fillId="25" borderId="0" xfId="0" applyFont="1" applyFill="1" applyAlignment="1">
      <alignment horizontal="left" vertical="center" wrapText="1"/>
    </xf>
    <xf numFmtId="0" fontId="97" fillId="25" borderId="25" xfId="0" applyFont="1" applyFill="1" applyBorder="1" applyAlignment="1">
      <alignment horizontal="left" vertical="center" wrapText="1"/>
    </xf>
    <xf numFmtId="0" fontId="97" fillId="25" borderId="18" xfId="0" applyFont="1" applyFill="1" applyBorder="1" applyAlignment="1">
      <alignment horizontal="left" vertical="center" wrapText="1"/>
    </xf>
    <xf numFmtId="0" fontId="97" fillId="25" borderId="32" xfId="0" applyFont="1" applyFill="1" applyBorder="1" applyAlignment="1">
      <alignment horizontal="left" vertical="center" wrapText="1"/>
    </xf>
    <xf numFmtId="0" fontId="33" fillId="25" borderId="33" xfId="0" applyFont="1" applyFill="1" applyBorder="1" applyAlignment="1">
      <alignment horizontal="justify" vertical="center" wrapText="1"/>
    </xf>
    <xf numFmtId="0" fontId="24" fillId="25" borderId="34" xfId="0" applyFont="1" applyFill="1" applyBorder="1" applyAlignment="1" applyProtection="1">
      <alignment horizontal="center"/>
      <protection hidden="1"/>
    </xf>
    <xf numFmtId="0" fontId="24" fillId="25" borderId="35" xfId="0" applyFont="1" applyFill="1" applyBorder="1" applyAlignment="1" applyProtection="1">
      <alignment horizontal="center"/>
      <protection hidden="1"/>
    </xf>
    <xf numFmtId="0" fontId="38" fillId="25" borderId="36" xfId="0" applyFont="1" applyFill="1" applyBorder="1" applyAlignment="1" applyProtection="1">
      <alignment horizontal="center"/>
      <protection hidden="1" locked="0"/>
    </xf>
    <xf numFmtId="0" fontId="38" fillId="25" borderId="37" xfId="0" applyFont="1" applyFill="1" applyBorder="1" applyAlignment="1" applyProtection="1">
      <alignment horizontal="center"/>
      <protection hidden="1" locked="0"/>
    </xf>
    <xf numFmtId="0" fontId="38" fillId="25" borderId="38" xfId="0" applyFont="1" applyFill="1" applyBorder="1" applyAlignment="1" applyProtection="1">
      <alignment horizontal="center"/>
      <protection hidden="1" locked="0"/>
    </xf>
    <xf numFmtId="0" fontId="24" fillId="25" borderId="39" xfId="0" applyFont="1" applyFill="1" applyBorder="1" applyAlignment="1" applyProtection="1">
      <alignment horizontal="left"/>
      <protection hidden="1"/>
    </xf>
    <xf numFmtId="0" fontId="24" fillId="25" borderId="35" xfId="0" applyFont="1" applyFill="1" applyBorder="1" applyAlignment="1" applyProtection="1">
      <alignment horizontal="left"/>
      <protection hidden="1"/>
    </xf>
    <xf numFmtId="0" fontId="30" fillId="25" borderId="0" xfId="0" applyNumberFormat="1" applyFont="1" applyFill="1" applyAlignment="1" applyProtection="1">
      <alignment horizontal="justify" vertical="center" wrapText="1" readingOrder="1"/>
      <protection hidden="1"/>
    </xf>
    <xf numFmtId="0" fontId="32" fillId="25" borderId="25" xfId="0" applyFont="1" applyFill="1" applyBorder="1" applyAlignment="1">
      <alignment horizontal="left" vertical="center" wrapText="1"/>
    </xf>
    <xf numFmtId="0" fontId="32" fillId="25" borderId="18" xfId="0" applyFont="1" applyFill="1" applyBorder="1" applyAlignment="1">
      <alignment horizontal="left" vertical="center" wrapText="1"/>
    </xf>
    <xf numFmtId="0" fontId="32" fillId="25" borderId="32" xfId="0" applyFont="1" applyFill="1" applyBorder="1" applyAlignment="1">
      <alignment horizontal="left" vertical="center" wrapText="1"/>
    </xf>
    <xf numFmtId="49" fontId="32" fillId="25" borderId="25" xfId="0" applyNumberFormat="1" applyFont="1" applyFill="1" applyBorder="1" applyAlignment="1">
      <alignment horizontal="left" vertical="center" wrapText="1"/>
    </xf>
    <xf numFmtId="49" fontId="32" fillId="25" borderId="18" xfId="0" applyNumberFormat="1" applyFont="1" applyFill="1" applyBorder="1" applyAlignment="1">
      <alignment horizontal="left" vertical="center" wrapText="1"/>
    </xf>
    <xf numFmtId="49" fontId="32" fillId="25" borderId="32" xfId="0" applyNumberFormat="1" applyFont="1" applyFill="1" applyBorder="1" applyAlignment="1">
      <alignment horizontal="left" vertical="center" wrapText="1"/>
    </xf>
    <xf numFmtId="0" fontId="0" fillId="25" borderId="0" xfId="0" applyFill="1" applyBorder="1" applyAlignment="1" applyProtection="1">
      <alignment horizontal="justify" wrapText="1"/>
      <protection hidden="1"/>
    </xf>
    <xf numFmtId="0" fontId="21" fillId="25" borderId="0" xfId="0" applyFont="1" applyFill="1" applyAlignment="1" applyProtection="1">
      <alignment horizontal="left"/>
      <protection hidden="1"/>
    </xf>
    <xf numFmtId="14" fontId="34" fillId="25" borderId="0" xfId="0" applyNumberFormat="1" applyFont="1" applyFill="1" applyAlignment="1">
      <alignment horizontal="center" vertical="top" wrapText="1"/>
    </xf>
    <xf numFmtId="14" fontId="34" fillId="25" borderId="0" xfId="0" applyNumberFormat="1" applyFont="1" applyFill="1" applyBorder="1" applyAlignment="1">
      <alignment horizontal="center" vertical="top" wrapText="1"/>
    </xf>
    <xf numFmtId="0" fontId="34" fillId="25" borderId="37" xfId="0" applyFont="1" applyFill="1" applyBorder="1" applyAlignment="1">
      <alignment horizontal="center" vertical="top" wrapText="1"/>
    </xf>
    <xf numFmtId="0" fontId="33" fillId="25" borderId="0" xfId="0" applyFont="1" applyFill="1" applyAlignment="1">
      <alignment horizontal="center" vertical="center" wrapText="1"/>
    </xf>
    <xf numFmtId="0" fontId="31" fillId="25" borderId="40" xfId="0" applyFont="1" applyFill="1" applyBorder="1" applyAlignment="1">
      <alignment horizontal="justify" vertical="center" wrapText="1"/>
    </xf>
    <xf numFmtId="0" fontId="28" fillId="25" borderId="0" xfId="0" applyFont="1" applyFill="1" applyAlignment="1" applyProtection="1">
      <alignment horizontal="center"/>
      <protection hidden="1"/>
    </xf>
    <xf numFmtId="3" fontId="28" fillId="25" borderId="0" xfId="0" applyNumberFormat="1" applyFont="1" applyFill="1" applyBorder="1" applyAlignment="1">
      <alignment horizontal="center" wrapText="1"/>
    </xf>
    <xf numFmtId="0" fontId="78" fillId="25" borderId="0" xfId="0" applyFont="1" applyFill="1" applyBorder="1" applyAlignment="1" applyProtection="1">
      <alignment horizontal="center"/>
      <protection hidden="1"/>
    </xf>
    <xf numFmtId="0" fontId="26" fillId="25" borderId="0" xfId="0" applyFont="1" applyFill="1" applyBorder="1" applyAlignment="1" applyProtection="1">
      <alignment horizontal="center"/>
      <protection hidden="1" locked="0"/>
    </xf>
    <xf numFmtId="0" fontId="26" fillId="25" borderId="41" xfId="0" applyFont="1" applyFill="1" applyBorder="1" applyAlignment="1" applyProtection="1">
      <alignment horizontal="center"/>
      <protection hidden="1" locked="0"/>
    </xf>
    <xf numFmtId="0" fontId="24" fillId="25" borderId="42" xfId="0" applyFont="1" applyFill="1" applyBorder="1" applyAlignment="1" applyProtection="1">
      <alignment horizontal="left"/>
      <protection hidden="1"/>
    </xf>
    <xf numFmtId="0" fontId="24" fillId="25" borderId="43" xfId="0" applyFont="1" applyFill="1" applyBorder="1" applyAlignment="1" applyProtection="1">
      <alignment horizontal="left"/>
      <protection hidden="1"/>
    </xf>
    <xf numFmtId="0" fontId="21" fillId="25" borderId="0" xfId="0" applyFont="1" applyFill="1" applyBorder="1" applyAlignment="1" applyProtection="1">
      <alignment horizontal="left" vertical="center" wrapText="1"/>
      <protection hidden="1"/>
    </xf>
    <xf numFmtId="14" fontId="100" fillId="25" borderId="0" xfId="0" applyNumberFormat="1" applyFont="1" applyFill="1" applyBorder="1" applyAlignment="1" applyProtection="1">
      <alignment horizontal="center"/>
      <protection hidden="1"/>
    </xf>
    <xf numFmtId="0" fontId="100" fillId="25" borderId="0" xfId="0" applyFont="1" applyFill="1" applyBorder="1" applyAlignment="1" applyProtection="1">
      <alignment horizontal="center"/>
      <protection hidden="1"/>
    </xf>
    <xf numFmtId="3" fontId="100" fillId="25" borderId="0" xfId="0" applyNumberFormat="1" applyFont="1" applyFill="1" applyBorder="1" applyAlignment="1" applyProtection="1">
      <alignment horizontal="center"/>
      <protection hidden="1"/>
    </xf>
    <xf numFmtId="4" fontId="46" fillId="25" borderId="0" xfId="0" applyNumberFormat="1" applyFont="1" applyFill="1" applyBorder="1" applyAlignment="1" applyProtection="1">
      <alignment horizontal="center"/>
      <protection hidden="1"/>
    </xf>
    <xf numFmtId="4" fontId="100" fillId="25" borderId="0" xfId="0" applyNumberFormat="1" applyFont="1" applyFill="1" applyBorder="1" applyAlignment="1" applyProtection="1">
      <alignment horizontal="center"/>
      <protection hidden="1"/>
    </xf>
    <xf numFmtId="14" fontId="101" fillId="25" borderId="0" xfId="0" applyNumberFormat="1" applyFont="1" applyFill="1" applyBorder="1" applyAlignment="1" applyProtection="1">
      <alignment horizontal="center"/>
      <protection hidden="1"/>
    </xf>
    <xf numFmtId="0" fontId="101" fillId="25" borderId="0" xfId="0" applyFont="1" applyFill="1" applyBorder="1" applyAlignment="1" applyProtection="1">
      <alignment horizontal="center"/>
      <protection hidden="1"/>
    </xf>
    <xf numFmtId="4" fontId="101" fillId="25" borderId="0" xfId="0" applyNumberFormat="1" applyFont="1" applyFill="1" applyBorder="1" applyAlignment="1" applyProtection="1">
      <alignment horizontal="center"/>
      <protection hidden="1"/>
    </xf>
    <xf numFmtId="1" fontId="0" fillId="25" borderId="44" xfId="0" applyNumberFormat="1" applyFill="1" applyBorder="1" applyAlignment="1" applyProtection="1">
      <alignment horizontal="center"/>
      <protection hidden="1" locked="0"/>
    </xf>
    <xf numFmtId="1" fontId="0" fillId="25" borderId="45" xfId="0" applyNumberFormat="1" applyFill="1" applyBorder="1" applyAlignment="1" applyProtection="1">
      <alignment horizontal="center"/>
      <protection hidden="1" locked="0"/>
    </xf>
    <xf numFmtId="1" fontId="0" fillId="25" borderId="46" xfId="0" applyNumberFormat="1" applyFill="1" applyBorder="1" applyAlignment="1" applyProtection="1">
      <alignment horizontal="center"/>
      <protection hidden="1" locked="0"/>
    </xf>
    <xf numFmtId="0" fontId="24" fillId="25" borderId="14" xfId="0" applyFont="1" applyFill="1" applyBorder="1" applyAlignment="1" applyProtection="1">
      <alignment horizontal="center"/>
      <protection hidden="1"/>
    </xf>
    <xf numFmtId="0" fontId="24" fillId="25" borderId="15" xfId="0" applyFont="1" applyFill="1" applyBorder="1" applyAlignment="1" applyProtection="1">
      <alignment horizontal="center"/>
      <protection hidden="1"/>
    </xf>
    <xf numFmtId="0" fontId="24" fillId="25" borderId="47" xfId="0" applyFont="1" applyFill="1" applyBorder="1" applyAlignment="1" applyProtection="1">
      <alignment horizontal="center" vertical="center"/>
      <protection hidden="1"/>
    </xf>
    <xf numFmtId="0" fontId="24" fillId="25" borderId="29" xfId="0" applyFont="1" applyFill="1" applyBorder="1" applyAlignment="1" applyProtection="1">
      <alignment horizontal="center" vertical="center"/>
      <protection hidden="1"/>
    </xf>
    <xf numFmtId="4" fontId="24" fillId="25" borderId="25" xfId="0" applyNumberFormat="1" applyFont="1" applyFill="1" applyBorder="1" applyAlignment="1" applyProtection="1">
      <alignment horizontal="center"/>
      <protection hidden="1"/>
    </xf>
    <xf numFmtId="4" fontId="24" fillId="25" borderId="18" xfId="0" applyNumberFormat="1" applyFont="1" applyFill="1" applyBorder="1" applyAlignment="1" applyProtection="1">
      <alignment horizontal="center"/>
      <protection hidden="1"/>
    </xf>
    <xf numFmtId="4" fontId="24" fillId="25" borderId="32" xfId="0" applyNumberFormat="1" applyFont="1" applyFill="1" applyBorder="1" applyAlignment="1" applyProtection="1">
      <alignment horizontal="center"/>
      <protection hidden="1"/>
    </xf>
    <xf numFmtId="0" fontId="78" fillId="25" borderId="0" xfId="0" applyFont="1" applyFill="1" applyBorder="1" applyAlignment="1" applyProtection="1">
      <alignment horizontal="left" wrapText="1"/>
      <protection hidden="1"/>
    </xf>
    <xf numFmtId="0" fontId="20" fillId="25" borderId="0" xfId="0" applyFont="1" applyFill="1" applyAlignment="1" applyProtection="1">
      <alignment horizontal="right" vertical="center"/>
      <protection hidden="1"/>
    </xf>
    <xf numFmtId="0" fontId="24" fillId="25" borderId="27" xfId="0" applyFont="1" applyFill="1" applyBorder="1" applyAlignment="1" applyProtection="1">
      <alignment horizontal="left" wrapText="1"/>
      <protection hidden="1"/>
    </xf>
    <xf numFmtId="0" fontId="24" fillId="25" borderId="15" xfId="0" applyFont="1" applyFill="1" applyBorder="1" applyAlignment="1" applyProtection="1">
      <alignment horizontal="left" wrapText="1"/>
      <protection hidden="1"/>
    </xf>
    <xf numFmtId="0" fontId="35" fillId="25" borderId="0" xfId="0" applyFont="1" applyFill="1" applyAlignment="1" applyProtection="1">
      <alignment horizontal="center"/>
      <protection hidden="1"/>
    </xf>
    <xf numFmtId="0" fontId="24" fillId="25" borderId="30" xfId="0" applyFont="1" applyFill="1" applyBorder="1" applyAlignment="1" applyProtection="1">
      <alignment horizontal="left"/>
      <protection hidden="1"/>
    </xf>
    <xf numFmtId="0" fontId="24" fillId="25" borderId="48" xfId="0" applyFont="1" applyFill="1" applyBorder="1" applyAlignment="1" applyProtection="1">
      <alignment horizontal="left"/>
      <protection hidden="1"/>
    </xf>
    <xf numFmtId="49" fontId="0" fillId="25" borderId="49" xfId="0" applyNumberFormat="1" applyFill="1" applyBorder="1" applyAlignment="1" applyProtection="1">
      <alignment horizontal="center"/>
      <protection hidden="1" locked="0"/>
    </xf>
    <xf numFmtId="49" fontId="0" fillId="25" borderId="50" xfId="0" applyNumberFormat="1" applyFill="1" applyBorder="1" applyAlignment="1" applyProtection="1">
      <alignment horizontal="center"/>
      <protection hidden="1" locked="0"/>
    </xf>
    <xf numFmtId="0" fontId="37" fillId="25" borderId="0" xfId="0" applyFont="1" applyFill="1" applyAlignment="1" applyProtection="1">
      <alignment horizontal="center"/>
      <protection hidden="1"/>
    </xf>
    <xf numFmtId="0" fontId="0" fillId="25" borderId="0" xfId="0" applyFill="1" applyAlignment="1">
      <alignment/>
    </xf>
    <xf numFmtId="4" fontId="80" fillId="25" borderId="0" xfId="0" applyNumberFormat="1" applyFont="1" applyFill="1" applyBorder="1" applyAlignment="1" applyProtection="1">
      <alignment horizontal="center"/>
      <protection hidden="1"/>
    </xf>
    <xf numFmtId="0" fontId="24" fillId="25" borderId="25" xfId="0" applyFont="1" applyFill="1" applyBorder="1" applyAlignment="1" applyProtection="1">
      <alignment horizontal="center" vertical="center" wrapText="1"/>
      <protection hidden="1"/>
    </xf>
    <xf numFmtId="0" fontId="24" fillId="25" borderId="32" xfId="0" applyFont="1" applyFill="1" applyBorder="1" applyAlignment="1" applyProtection="1">
      <alignment horizontal="center" vertical="center" wrapText="1"/>
      <protection hidden="1"/>
    </xf>
    <xf numFmtId="14" fontId="46" fillId="25" borderId="40" xfId="0" applyNumberFormat="1" applyFont="1" applyFill="1" applyBorder="1" applyAlignment="1" applyProtection="1">
      <alignment horizontal="center"/>
      <protection hidden="1"/>
    </xf>
    <xf numFmtId="0" fontId="0" fillId="25" borderId="40" xfId="0" applyFill="1" applyBorder="1" applyAlignment="1">
      <alignment/>
    </xf>
    <xf numFmtId="0" fontId="24" fillId="25" borderId="25" xfId="0" applyFont="1" applyFill="1" applyBorder="1" applyAlignment="1" applyProtection="1">
      <alignment horizontal="center" vertical="center"/>
      <protection hidden="1"/>
    </xf>
    <xf numFmtId="0" fontId="0" fillId="25" borderId="32" xfId="0" applyFill="1" applyBorder="1" applyAlignment="1">
      <alignment/>
    </xf>
    <xf numFmtId="4" fontId="21" fillId="25" borderId="0" xfId="0" applyNumberFormat="1" applyFont="1" applyFill="1" applyBorder="1" applyAlignment="1" applyProtection="1">
      <alignment horizontal="center"/>
      <protection hidden="1"/>
    </xf>
    <xf numFmtId="0" fontId="21" fillId="25" borderId="0" xfId="0" applyFont="1" applyFill="1" applyBorder="1" applyAlignment="1" applyProtection="1">
      <alignment horizontal="center"/>
      <protection hidden="1"/>
    </xf>
    <xf numFmtId="0" fontId="26" fillId="25" borderId="27" xfId="0" applyFont="1" applyFill="1" applyBorder="1" applyAlignment="1" applyProtection="1">
      <alignment horizontal="center"/>
      <protection hidden="1" locked="0"/>
    </xf>
    <xf numFmtId="0" fontId="26" fillId="25" borderId="14" xfId="0" applyFont="1" applyFill="1" applyBorder="1" applyAlignment="1" applyProtection="1">
      <alignment horizontal="center"/>
      <protection hidden="1" locked="0"/>
    </xf>
    <xf numFmtId="0" fontId="40" fillId="25" borderId="0" xfId="0" applyFont="1" applyFill="1" applyAlignment="1">
      <alignment wrapText="1"/>
    </xf>
    <xf numFmtId="0" fontId="24" fillId="25" borderId="27" xfId="0" applyFont="1" applyFill="1" applyBorder="1" applyAlignment="1" applyProtection="1">
      <alignment horizontal="left"/>
      <protection hidden="1"/>
    </xf>
    <xf numFmtId="0" fontId="24" fillId="25" borderId="15" xfId="0" applyFont="1" applyFill="1" applyBorder="1" applyAlignment="1" applyProtection="1">
      <alignment horizontal="left"/>
      <protection hidden="1"/>
    </xf>
    <xf numFmtId="4" fontId="26" fillId="25" borderId="27" xfId="0" applyNumberFormat="1" applyFont="1" applyFill="1" applyBorder="1" applyAlignment="1" applyProtection="1">
      <alignment horizontal="center"/>
      <protection hidden="1"/>
    </xf>
    <xf numFmtId="4" fontId="26" fillId="25" borderId="14" xfId="0" applyNumberFormat="1" applyFont="1" applyFill="1" applyBorder="1" applyAlignment="1" applyProtection="1">
      <alignment horizontal="center"/>
      <protection hidden="1"/>
    </xf>
    <xf numFmtId="0" fontId="24" fillId="25" borderId="36" xfId="0" applyFont="1" applyFill="1" applyBorder="1" applyAlignment="1" applyProtection="1">
      <alignment horizontal="left"/>
      <protection hidden="1"/>
    </xf>
    <xf numFmtId="0" fontId="24" fillId="25" borderId="38" xfId="0" applyFont="1" applyFill="1" applyBorder="1" applyAlignment="1" applyProtection="1">
      <alignment horizontal="left"/>
      <protection hidden="1"/>
    </xf>
    <xf numFmtId="0" fontId="0" fillId="25" borderId="36" xfId="0" applyFont="1" applyFill="1" applyBorder="1" applyAlignment="1" applyProtection="1">
      <alignment horizontal="center"/>
      <protection hidden="1" locked="0"/>
    </xf>
    <xf numFmtId="0" fontId="0" fillId="25" borderId="37" xfId="0" applyFont="1" applyFill="1" applyBorder="1" applyAlignment="1" applyProtection="1">
      <alignment horizontal="center"/>
      <protection hidden="1" locked="0"/>
    </xf>
    <xf numFmtId="0" fontId="0" fillId="25" borderId="38" xfId="0" applyFont="1" applyFill="1" applyBorder="1" applyAlignment="1" applyProtection="1">
      <alignment horizontal="center"/>
      <protection hidden="1" locked="0"/>
    </xf>
    <xf numFmtId="14" fontId="26" fillId="25" borderId="51" xfId="0" applyNumberFormat="1" applyFont="1" applyFill="1" applyBorder="1" applyAlignment="1" applyProtection="1">
      <alignment horizontal="center"/>
      <protection hidden="1" locked="0"/>
    </xf>
    <xf numFmtId="14" fontId="26" fillId="25" borderId="34" xfId="0" applyNumberFormat="1" applyFont="1" applyFill="1" applyBorder="1" applyAlignment="1" applyProtection="1">
      <alignment horizontal="center"/>
      <protection hidden="1" locked="0"/>
    </xf>
    <xf numFmtId="1" fontId="26" fillId="25" borderId="32" xfId="0" applyNumberFormat="1" applyFont="1" applyFill="1" applyBorder="1" applyAlignment="1" applyProtection="1">
      <alignment horizontal="center"/>
      <protection hidden="1" locked="0"/>
    </xf>
    <xf numFmtId="1" fontId="26" fillId="25" borderId="14" xfId="0" applyNumberFormat="1" applyFont="1" applyFill="1" applyBorder="1" applyAlignment="1" applyProtection="1">
      <alignment horizontal="center"/>
      <protection hidden="1" locked="0"/>
    </xf>
    <xf numFmtId="0" fontId="87" fillId="25" borderId="0" xfId="0" applyFont="1" applyFill="1" applyBorder="1" applyAlignment="1" applyProtection="1">
      <alignment horizontal="center" wrapText="1"/>
      <protection hidden="1"/>
    </xf>
    <xf numFmtId="0" fontId="87" fillId="25" borderId="12" xfId="0" applyFont="1" applyFill="1" applyBorder="1" applyAlignment="1" applyProtection="1">
      <alignment horizontal="center" wrapText="1"/>
      <protection hidden="1"/>
    </xf>
    <xf numFmtId="0" fontId="24" fillId="25" borderId="52" xfId="0" applyFont="1" applyFill="1" applyBorder="1" applyAlignment="1" applyProtection="1">
      <alignment horizontal="left"/>
      <protection hidden="1"/>
    </xf>
    <xf numFmtId="0" fontId="24" fillId="25" borderId="53" xfId="0" applyFont="1" applyFill="1" applyBorder="1" applyAlignment="1" applyProtection="1">
      <alignment horizontal="left"/>
      <protection hidden="1"/>
    </xf>
    <xf numFmtId="0" fontId="24" fillId="25" borderId="54" xfId="0" applyFont="1" applyFill="1" applyBorder="1" applyAlignment="1" applyProtection="1">
      <alignment horizontal="left"/>
      <protection hidden="1"/>
    </xf>
    <xf numFmtId="0" fontId="24" fillId="25" borderId="55" xfId="0" applyFont="1" applyFill="1" applyBorder="1" applyAlignment="1" applyProtection="1">
      <alignment horizontal="left"/>
      <protection hidden="1"/>
    </xf>
    <xf numFmtId="0" fontId="26" fillId="25" borderId="27" xfId="0" applyFont="1" applyFill="1" applyBorder="1" applyAlignment="1" applyProtection="1">
      <alignment horizontal="center"/>
      <protection hidden="1"/>
    </xf>
    <xf numFmtId="0" fontId="26" fillId="25" borderId="14" xfId="0" applyFont="1" applyFill="1" applyBorder="1" applyAlignment="1" applyProtection="1">
      <alignment horizontal="center"/>
      <protection hidden="1"/>
    </xf>
    <xf numFmtId="0" fontId="24" fillId="25" borderId="22" xfId="0" applyFont="1" applyFill="1" applyBorder="1" applyAlignment="1" applyProtection="1">
      <alignment horizontal="left"/>
      <protection hidden="1"/>
    </xf>
    <xf numFmtId="0" fontId="24" fillId="25" borderId="23" xfId="0" applyFont="1" applyFill="1" applyBorder="1" applyAlignment="1" applyProtection="1">
      <alignment horizontal="left"/>
      <protection hidden="1"/>
    </xf>
    <xf numFmtId="0" fontId="26" fillId="25" borderId="22" xfId="0" applyFont="1" applyFill="1" applyBorder="1" applyAlignment="1" applyProtection="1">
      <alignment horizontal="center"/>
      <protection hidden="1" locked="0"/>
    </xf>
    <xf numFmtId="0" fontId="26" fillId="25" borderId="32" xfId="0" applyFont="1" applyFill="1" applyBorder="1" applyAlignment="1" applyProtection="1">
      <alignment horizontal="center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7"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fill>
        <patternFill>
          <bgColor indexed="10"/>
        </patternFill>
      </fill>
    </dxf>
    <dxf>
      <font>
        <color indexed="9"/>
      </font>
    </dxf>
    <dxf>
      <fill>
        <patternFill>
          <fgColor indexed="64"/>
          <bgColor rgb="FFFF0000"/>
        </patternFill>
      </fill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fill>
        <patternFill>
          <bgColor theme="0" tint="-0.149959996342659"/>
        </patternFill>
      </fill>
      <border>
        <left style="thin"/>
        <right style="thin"/>
        <bottom style="thin"/>
      </border>
    </dxf>
    <dxf>
      <font>
        <color indexed="22"/>
      </font>
      <border>
        <left/>
        <right/>
        <top/>
        <bottom/>
      </border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top style="thin"/>
        <bottom style="thin"/>
      </border>
    </dxf>
    <dxf>
      <font>
        <color indexed="9"/>
      </font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 style="thin"/>
        <bottom/>
      </border>
    </dxf>
    <dxf>
      <font>
        <color indexed="9"/>
      </font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auto="1"/>
      </font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b/>
        <i val="0"/>
      </font>
    </dxf>
    <dxf>
      <font>
        <color auto="1"/>
      </font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border/>
    </dxf>
    <dxf>
      <font>
        <color rgb="FFFFFFFF"/>
      </font>
      <border/>
    </dxf>
    <dxf>
      <font>
        <color rgb="FFFFFFFF"/>
      </font>
      <border>
        <left>
          <color rgb="FF000000"/>
        </left>
        <right>
          <color rgb="FF000000"/>
        </right>
        <top style="thin"/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auto="1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C0C0C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auto="1"/>
      </font>
      <fill>
        <patternFill>
          <bgColor theme="0" tint="-0.149959996342659"/>
        </patternFill>
      </fill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160</xdr:row>
      <xdr:rowOff>9525</xdr:rowOff>
    </xdr:from>
    <xdr:to>
      <xdr:col>16</xdr:col>
      <xdr:colOff>0</xdr:colOff>
      <xdr:row>160</xdr:row>
      <xdr:rowOff>9525</xdr:rowOff>
    </xdr:to>
    <xdr:sp>
      <xdr:nvSpPr>
        <xdr:cNvPr id="1" name="Прямая соединительная линия 3"/>
        <xdr:cNvSpPr>
          <a:spLocks/>
        </xdr:cNvSpPr>
      </xdr:nvSpPr>
      <xdr:spPr>
        <a:xfrm>
          <a:off x="66675" y="15211425"/>
          <a:ext cx="10239375" cy="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1381125</xdr:colOff>
      <xdr:row>10</xdr:row>
      <xdr:rowOff>200025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181"/>
  <sheetViews>
    <sheetView tabSelected="1" zoomScalePageLayoutView="0" workbookViewId="0" topLeftCell="A1">
      <selection activeCell="J23" sqref="J23"/>
    </sheetView>
  </sheetViews>
  <sheetFormatPr defaultColWidth="9.00390625" defaultRowHeight="12.75"/>
  <cols>
    <col min="1" max="1" width="4.00390625" style="11" customWidth="1"/>
    <col min="2" max="2" width="3.875" style="11" customWidth="1"/>
    <col min="3" max="4" width="24.25390625" style="15" hidden="1" customWidth="1"/>
    <col min="5" max="5" width="24.25390625" style="15" customWidth="1"/>
    <col min="6" max="6" width="19.25390625" style="13" customWidth="1"/>
    <col min="7" max="7" width="9.625" style="13" customWidth="1"/>
    <col min="8" max="8" width="8.25390625" style="13" customWidth="1"/>
    <col min="9" max="9" width="12.00390625" style="13" customWidth="1"/>
    <col min="10" max="10" width="19.75390625" style="13" customWidth="1"/>
    <col min="11" max="11" width="16.625" style="13" hidden="1" customWidth="1"/>
    <col min="12" max="12" width="20.625" style="13" customWidth="1"/>
    <col min="13" max="13" width="13.625" style="20" customWidth="1"/>
    <col min="14" max="14" width="15.625" style="16" hidden="1" customWidth="1"/>
    <col min="15" max="15" width="20.625" style="16" hidden="1" customWidth="1"/>
    <col min="16" max="16" width="28.00390625" style="16" hidden="1" customWidth="1"/>
    <col min="17" max="17" width="18.00390625" style="16" hidden="1" customWidth="1"/>
    <col min="18" max="18" width="26.75390625" style="16" hidden="1" customWidth="1"/>
    <col min="19" max="19" width="25.625" style="16" hidden="1" customWidth="1"/>
    <col min="20" max="20" width="14.875" style="16" hidden="1" customWidth="1"/>
    <col min="21" max="21" width="3.00390625" style="16" hidden="1" customWidth="1"/>
    <col min="22" max="23" width="230.125" style="16" hidden="1" customWidth="1"/>
    <col min="24" max="25" width="208.75390625" style="16" hidden="1" customWidth="1"/>
    <col min="26" max="26" width="236.875" style="16" hidden="1" customWidth="1"/>
    <col min="27" max="28" width="8.125" style="16" hidden="1" customWidth="1"/>
    <col min="29" max="29" width="206.625" style="16" hidden="1" customWidth="1"/>
    <col min="30" max="30" width="248.75390625" style="16" hidden="1" customWidth="1"/>
    <col min="31" max="32" width="7.875" style="16" hidden="1" customWidth="1"/>
    <col min="33" max="33" width="8.125" style="16" hidden="1" customWidth="1"/>
    <col min="34" max="35" width="5.625" style="16" hidden="1" customWidth="1"/>
    <col min="36" max="36" width="11.25390625" style="16" hidden="1" customWidth="1"/>
    <col min="37" max="37" width="11.875" style="16" hidden="1" customWidth="1"/>
    <col min="38" max="38" width="11.375" style="16" hidden="1" customWidth="1"/>
    <col min="39" max="39" width="11.25390625" style="16" hidden="1" customWidth="1"/>
    <col min="40" max="41" width="10.875" style="16" hidden="1" customWidth="1"/>
    <col min="42" max="43" width="4.625" style="16" hidden="1" customWidth="1"/>
    <col min="44" max="44" width="8.875" style="16" hidden="1" customWidth="1"/>
    <col min="45" max="45" width="8.25390625" style="16" hidden="1" customWidth="1"/>
    <col min="46" max="46" width="8.125" style="16" hidden="1" customWidth="1"/>
    <col min="47" max="48" width="3.00390625" style="16" hidden="1" customWidth="1"/>
    <col min="49" max="50" width="5.00390625" style="16" hidden="1" customWidth="1"/>
    <col min="51" max="51" width="2.00390625" style="16" hidden="1" customWidth="1"/>
    <col min="52" max="54" width="3.00390625" style="16" hidden="1" customWidth="1"/>
    <col min="55" max="55" width="28.00390625" style="16" hidden="1" customWidth="1"/>
    <col min="56" max="56" width="8.625" style="16" hidden="1" customWidth="1"/>
    <col min="57" max="57" width="5.625" style="16" hidden="1" customWidth="1"/>
    <col min="58" max="58" width="2.00390625" style="16" hidden="1" customWidth="1"/>
    <col min="59" max="59" width="4.00390625" style="16" hidden="1" customWidth="1"/>
    <col min="60" max="60" width="2.00390625" style="16" hidden="1" customWidth="1"/>
    <col min="61" max="61" width="28.00390625" style="16" hidden="1" customWidth="1"/>
    <col min="62" max="62" width="12.00390625" style="16" hidden="1" customWidth="1"/>
    <col min="63" max="63" width="2.00390625" style="16" hidden="1" customWidth="1"/>
    <col min="64" max="66" width="28.00390625" style="16" hidden="1" customWidth="1"/>
    <col min="67" max="67" width="3.00390625" style="16" hidden="1" customWidth="1"/>
    <col min="68" max="68" width="28.25390625" style="16" customWidth="1"/>
    <col min="69" max="70" width="9.125" style="16" customWidth="1"/>
    <col min="71" max="71" width="9.125" style="16" hidden="1" customWidth="1"/>
    <col min="72" max="72" width="9.125" style="16" customWidth="1"/>
    <col min="73" max="77" width="9.125" style="17" customWidth="1"/>
    <col min="78" max="150" width="9.125" style="3" customWidth="1"/>
    <col min="151" max="16384" width="9.125" style="4" customWidth="1"/>
  </cols>
  <sheetData>
    <row r="1" spans="3:25" ht="4.5" customHeight="1">
      <c r="C1" s="12">
        <v>1</v>
      </c>
      <c r="D1" s="12"/>
      <c r="E1" s="12"/>
      <c r="J1" s="232"/>
      <c r="K1" s="232"/>
      <c r="L1" s="232"/>
      <c r="M1" s="14"/>
      <c r="N1" s="116"/>
      <c r="O1" s="116"/>
      <c r="P1" s="116"/>
      <c r="Q1" s="116"/>
      <c r="R1" s="116"/>
      <c r="S1" s="116"/>
      <c r="T1" s="116"/>
      <c r="U1" s="117">
        <f>IF(L10=1,1,IF(U10=1,2,IF(V10=1,1,0)))</f>
        <v>2</v>
      </c>
      <c r="V1" s="231" t="s">
        <v>0</v>
      </c>
      <c r="W1" s="231"/>
      <c r="X1" s="231"/>
      <c r="Y1" s="231"/>
    </row>
    <row r="2" spans="10:25" ht="3" customHeight="1" hidden="1">
      <c r="J2" s="232"/>
      <c r="K2" s="232"/>
      <c r="L2" s="232"/>
      <c r="M2" s="14"/>
      <c r="N2" s="116"/>
      <c r="O2" s="116"/>
      <c r="P2" s="116"/>
      <c r="Q2" s="116"/>
      <c r="R2" s="116"/>
      <c r="S2" s="116"/>
      <c r="T2" s="116"/>
      <c r="U2" s="118"/>
      <c r="V2" s="29"/>
      <c r="W2" s="29"/>
      <c r="X2" s="29"/>
      <c r="Y2" s="29"/>
    </row>
    <row r="3" spans="10:21" ht="9.75" customHeight="1" hidden="1">
      <c r="J3" s="232"/>
      <c r="K3" s="232"/>
      <c r="L3" s="232"/>
      <c r="M3" s="14"/>
      <c r="N3" s="116"/>
      <c r="O3" s="116"/>
      <c r="P3" s="116"/>
      <c r="Q3" s="116"/>
      <c r="R3" s="116"/>
      <c r="S3" s="116"/>
      <c r="T3" s="116"/>
      <c r="U3" s="119"/>
    </row>
    <row r="4" spans="10:21" ht="2.25" customHeight="1" hidden="1">
      <c r="J4" s="232"/>
      <c r="K4" s="232"/>
      <c r="L4" s="232"/>
      <c r="M4" s="14"/>
      <c r="N4" s="116"/>
      <c r="O4" s="116"/>
      <c r="P4" s="116"/>
      <c r="Q4" s="116"/>
      <c r="R4" s="116"/>
      <c r="S4" s="116"/>
      <c r="T4" s="116"/>
      <c r="U4" s="119"/>
    </row>
    <row r="5" spans="10:21" ht="17.25" customHeight="1">
      <c r="J5" s="19"/>
      <c r="K5" s="19"/>
      <c r="L5" s="19"/>
      <c r="M5" s="14"/>
      <c r="N5" s="116"/>
      <c r="P5" s="116"/>
      <c r="Q5" s="116"/>
      <c r="R5" s="116"/>
      <c r="S5" s="116"/>
      <c r="T5" s="116"/>
      <c r="U5" s="119"/>
    </row>
    <row r="6" spans="6:21" ht="15.75" customHeight="1">
      <c r="F6" s="235" t="s">
        <v>127</v>
      </c>
      <c r="G6" s="235"/>
      <c r="H6" s="235"/>
      <c r="I6" s="235"/>
      <c r="J6" s="235"/>
      <c r="K6" s="235"/>
      <c r="L6" s="235"/>
      <c r="M6" s="21"/>
      <c r="N6" s="120"/>
      <c r="O6" s="120"/>
      <c r="P6" s="120"/>
      <c r="Q6" s="116"/>
      <c r="R6" s="116"/>
      <c r="S6" s="116"/>
      <c r="T6" s="116"/>
      <c r="U6" s="119"/>
    </row>
    <row r="7" spans="3:21" ht="15.75" customHeight="1" hidden="1">
      <c r="C7" s="22" t="str">
        <f>IF(L10=1,"СП - КП",IF(U10=1,"Экспресс",IF(V10=1,"Спецпроцедура"," ")))</f>
        <v>Экспресс</v>
      </c>
      <c r="D7" s="22"/>
      <c r="E7" s="22"/>
      <c r="F7" s="240" t="s">
        <v>130</v>
      </c>
      <c r="G7" s="240"/>
      <c r="H7" s="240"/>
      <c r="I7" s="240"/>
      <c r="J7" s="240"/>
      <c r="K7" s="240"/>
      <c r="L7" s="240"/>
      <c r="M7" s="23"/>
      <c r="N7" s="121"/>
      <c r="O7" s="121"/>
      <c r="P7" s="121"/>
      <c r="Q7" s="122"/>
      <c r="R7" s="123"/>
      <c r="S7" s="123"/>
      <c r="T7" s="123"/>
      <c r="U7" s="16">
        <f>IF(U1=0,1,0)</f>
        <v>0</v>
      </c>
    </row>
    <row r="8" spans="12:24" ht="19.5" customHeight="1" thickBot="1">
      <c r="L8" s="24"/>
      <c r="M8" s="25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3:24" ht="15" customHeight="1" hidden="1">
      <c r="C9" s="26"/>
      <c r="D9" s="26"/>
      <c r="E9" s="26"/>
      <c r="F9" s="236" t="s">
        <v>1</v>
      </c>
      <c r="G9" s="237"/>
      <c r="H9" s="238"/>
      <c r="I9" s="238"/>
      <c r="J9" s="239"/>
      <c r="K9" s="15"/>
      <c r="L9" s="24" t="s">
        <v>2</v>
      </c>
      <c r="M9" s="25"/>
      <c r="N9" s="29"/>
      <c r="O9" s="29"/>
      <c r="P9" s="29"/>
      <c r="Q9" s="29"/>
      <c r="R9" s="29"/>
      <c r="S9" s="29"/>
      <c r="T9" s="29"/>
      <c r="U9" s="29" t="s">
        <v>3</v>
      </c>
      <c r="V9" s="29" t="s">
        <v>4</v>
      </c>
      <c r="W9" s="29"/>
      <c r="X9" s="29"/>
    </row>
    <row r="10" spans="3:24" ht="15" customHeight="1" hidden="1" thickBot="1">
      <c r="C10" s="26"/>
      <c r="D10" s="26"/>
      <c r="E10" s="26"/>
      <c r="F10" s="189" t="str">
        <f>IF(U1=1,"№ кредитного договора:",IF(U1=2,"№ соглашения:"," "))</f>
        <v>№ соглашения:</v>
      </c>
      <c r="G10" s="190"/>
      <c r="H10" s="221"/>
      <c r="I10" s="222"/>
      <c r="J10" s="223"/>
      <c r="K10" s="15"/>
      <c r="L10" s="24">
        <f>IF(H10&gt;288450000000,IF(H10&lt;288499999999,1,IF(H10&gt;288997000000,IF(H10&lt;288997999999,1,0),0)),0)</f>
        <v>0</v>
      </c>
      <c r="M10" s="25"/>
      <c r="N10" s="29"/>
      <c r="O10" s="29"/>
      <c r="P10" s="29"/>
      <c r="Q10" s="29"/>
      <c r="R10" s="29"/>
      <c r="S10" s="29"/>
      <c r="T10" s="29"/>
      <c r="U10" s="29">
        <v>1</v>
      </c>
      <c r="V10" s="29">
        <v>0</v>
      </c>
      <c r="W10" s="29">
        <v>0</v>
      </c>
      <c r="X10" s="29"/>
    </row>
    <row r="11" spans="1:39" ht="28.5" customHeight="1">
      <c r="A11" s="267">
        <f>IF(H11&lt;BJ18,"Недопустимая сумма кредита при данной заработной плате","")</f>
      </c>
      <c r="B11" s="267"/>
      <c r="C11" s="267"/>
      <c r="D11" s="267"/>
      <c r="E11" s="268"/>
      <c r="F11" s="172" t="s">
        <v>132</v>
      </c>
      <c r="G11" s="173"/>
      <c r="H11" s="174">
        <v>1000</v>
      </c>
      <c r="I11" s="175"/>
      <c r="J11" s="155" t="s">
        <v>131</v>
      </c>
      <c r="K11" s="155"/>
      <c r="L11" s="156"/>
      <c r="M11" s="25"/>
      <c r="N11" s="29"/>
      <c r="O11" s="29"/>
      <c r="P11" s="29"/>
      <c r="Q11" s="29"/>
      <c r="R11" s="29"/>
      <c r="S11" s="29"/>
      <c r="T11" s="29"/>
      <c r="U11" s="29"/>
      <c r="V11" s="29"/>
      <c r="W11" s="124"/>
      <c r="X11" s="29"/>
      <c r="AM11" s="16">
        <v>0</v>
      </c>
    </row>
    <row r="12" spans="1:24" ht="16.5" customHeight="1">
      <c r="A12" s="267"/>
      <c r="B12" s="267"/>
      <c r="C12" s="267"/>
      <c r="D12" s="267"/>
      <c r="E12" s="268"/>
      <c r="F12" s="157" t="s">
        <v>133</v>
      </c>
      <c r="G12" s="158"/>
      <c r="H12" s="167">
        <v>4000</v>
      </c>
      <c r="I12" s="168"/>
      <c r="J12" s="161" t="s">
        <v>131</v>
      </c>
      <c r="K12" s="162"/>
      <c r="L12" s="163"/>
      <c r="M12" s="25"/>
      <c r="N12" s="29"/>
      <c r="O12" s="29"/>
      <c r="P12" s="29"/>
      <c r="Q12" s="29"/>
      <c r="R12" s="29"/>
      <c r="S12" s="29"/>
      <c r="T12" s="29"/>
      <c r="U12" s="29"/>
      <c r="V12" s="29"/>
      <c r="W12" s="124"/>
      <c r="X12" s="29"/>
    </row>
    <row r="13" spans="1:24" ht="16.5" customHeight="1" thickBot="1">
      <c r="A13" s="267">
        <f>IF(H14&gt;20000000,IF(H14&lt;=40000000,"Необходима справка о доходах",""),"")</f>
      </c>
      <c r="B13" s="267"/>
      <c r="C13" s="267"/>
      <c r="D13" s="267"/>
      <c r="E13" s="268"/>
      <c r="F13" s="159" t="s">
        <v>134</v>
      </c>
      <c r="G13" s="160"/>
      <c r="H13" s="167">
        <v>0</v>
      </c>
      <c r="I13" s="168"/>
      <c r="J13" s="164" t="s">
        <v>131</v>
      </c>
      <c r="K13" s="165"/>
      <c r="L13" s="166"/>
      <c r="M13" s="25"/>
      <c r="N13" s="29"/>
      <c r="O13" s="29"/>
      <c r="P13" s="29"/>
      <c r="Q13" s="29"/>
      <c r="R13" s="29"/>
      <c r="S13" s="29"/>
      <c r="T13" s="29"/>
      <c r="U13" s="29"/>
      <c r="V13" s="29"/>
      <c r="W13" s="124"/>
      <c r="X13" s="29"/>
    </row>
    <row r="14" spans="2:153" ht="15" customHeight="1" thickBot="1">
      <c r="B14" s="113"/>
      <c r="C14" s="113"/>
      <c r="D14" s="113"/>
      <c r="E14" s="114" t="s">
        <v>9</v>
      </c>
      <c r="F14" s="254" t="s">
        <v>135</v>
      </c>
      <c r="G14" s="255"/>
      <c r="H14" s="256">
        <f>H12-H13</f>
        <v>4000</v>
      </c>
      <c r="I14" s="257"/>
      <c r="J14" s="224" t="s">
        <v>131</v>
      </c>
      <c r="K14" s="224"/>
      <c r="L14" s="225"/>
      <c r="M14" s="28"/>
      <c r="N14" s="125"/>
      <c r="O14" s="126">
        <f>J28+K28+C98+H14</f>
        <v>5347.97876111111</v>
      </c>
      <c r="P14" s="127"/>
      <c r="Q14" s="127"/>
      <c r="R14" s="127"/>
      <c r="S14" s="127"/>
      <c r="T14" s="128"/>
      <c r="U14" s="128"/>
      <c r="V14" s="128"/>
      <c r="W14" s="128"/>
      <c r="X14" s="29"/>
      <c r="Y14" s="29"/>
      <c r="Z14" s="29"/>
      <c r="AA14" s="29"/>
      <c r="AB14" s="29"/>
      <c r="AC14" s="29"/>
      <c r="AD14" s="29"/>
      <c r="AE14" s="29"/>
      <c r="AO14" s="16">
        <v>12</v>
      </c>
      <c r="AP14" s="16">
        <v>1</v>
      </c>
      <c r="BS14" s="16">
        <v>75</v>
      </c>
      <c r="BU14" s="15"/>
      <c r="BV14" s="15"/>
      <c r="BW14" s="15"/>
      <c r="EU14" s="3"/>
      <c r="EV14" s="3"/>
      <c r="EW14" s="3"/>
    </row>
    <row r="15" spans="3:153" ht="14.25" customHeight="1" hidden="1">
      <c r="C15" s="27"/>
      <c r="D15" s="27"/>
      <c r="E15" s="30" t="s">
        <v>9</v>
      </c>
      <c r="F15" s="271" t="s">
        <v>5</v>
      </c>
      <c r="G15" s="272"/>
      <c r="H15" s="273">
        <f>H19</f>
        <v>16.1</v>
      </c>
      <c r="I15" s="274"/>
      <c r="J15" s="224" t="str">
        <f>IF(H15=0," ","% годовых")</f>
        <v>% годовых</v>
      </c>
      <c r="K15" s="224"/>
      <c r="L15" s="225"/>
      <c r="M15" s="31"/>
      <c r="X15" s="231" t="s">
        <v>6</v>
      </c>
      <c r="Y15" s="231"/>
      <c r="Z15" s="231"/>
      <c r="AA15" s="231"/>
      <c r="AB15" s="32">
        <f>AC15-AB16-1</f>
        <v>29</v>
      </c>
      <c r="AC15" s="29">
        <f>IF(DAY(H21)=31,31,30)</f>
        <v>30</v>
      </c>
      <c r="AD15" s="29"/>
      <c r="AE15" s="29"/>
      <c r="AO15" s="16">
        <v>24</v>
      </c>
      <c r="AP15" s="16">
        <v>3</v>
      </c>
      <c r="BS15" s="16">
        <v>85</v>
      </c>
      <c r="BU15" s="15"/>
      <c r="BV15" s="15"/>
      <c r="BW15" s="15"/>
      <c r="EU15" s="3"/>
      <c r="EV15" s="3"/>
      <c r="EW15" s="3"/>
    </row>
    <row r="16" spans="3:153" ht="15" hidden="1" thickBot="1">
      <c r="C16" s="26"/>
      <c r="D16" s="26"/>
      <c r="E16" s="26"/>
      <c r="F16" s="210" t="s">
        <v>7</v>
      </c>
      <c r="G16" s="211"/>
      <c r="H16" s="208">
        <v>0</v>
      </c>
      <c r="I16" s="209"/>
      <c r="J16" s="33" t="str">
        <f>IF(H16=0," ","% в месяц")</f>
        <v> </v>
      </c>
      <c r="K16" s="18">
        <f>H16*12</f>
        <v>0</v>
      </c>
      <c r="L16" s="34"/>
      <c r="M16" s="35"/>
      <c r="X16" s="231" t="s">
        <v>8</v>
      </c>
      <c r="Y16" s="231"/>
      <c r="Z16" s="231"/>
      <c r="AA16" s="231"/>
      <c r="AB16" s="32">
        <f>DATE(YEAR(0),MONTH(0),DAY(H21)-1)</f>
        <v>0</v>
      </c>
      <c r="AC16" s="29"/>
      <c r="AD16" s="29"/>
      <c r="AE16" s="29"/>
      <c r="AO16" s="16">
        <v>18</v>
      </c>
      <c r="AP16" s="16">
        <v>6</v>
      </c>
      <c r="BU16" s="15"/>
      <c r="BV16" s="15"/>
      <c r="BW16" s="15"/>
      <c r="EU16" s="3"/>
      <c r="EV16" s="3"/>
      <c r="EW16" s="3"/>
    </row>
    <row r="17" spans="3:153" ht="12.75" hidden="1">
      <c r="C17" s="36" t="s">
        <v>9</v>
      </c>
      <c r="D17" s="36"/>
      <c r="E17" s="30" t="s">
        <v>9</v>
      </c>
      <c r="F17" s="233" t="s">
        <v>10</v>
      </c>
      <c r="G17" s="234"/>
      <c r="H17" s="226" t="s">
        <v>128</v>
      </c>
      <c r="I17" s="226"/>
      <c r="J17" s="226"/>
      <c r="K17" s="226"/>
      <c r="L17" s="227"/>
      <c r="M17" s="37"/>
      <c r="N17" s="129"/>
      <c r="X17" s="130"/>
      <c r="Y17" s="130"/>
      <c r="Z17" s="130"/>
      <c r="AA17" s="130"/>
      <c r="AB17" s="32"/>
      <c r="AC17" s="29"/>
      <c r="AD17" s="29"/>
      <c r="AE17" s="29"/>
      <c r="AO17" s="16">
        <v>36</v>
      </c>
      <c r="AP17" s="16">
        <v>12</v>
      </c>
      <c r="BU17" s="15"/>
      <c r="BV17" s="15"/>
      <c r="BW17" s="15"/>
      <c r="EU17" s="3"/>
      <c r="EV17" s="3"/>
      <c r="EW17" s="3"/>
    </row>
    <row r="18" spans="3:153" ht="15" customHeight="1">
      <c r="C18" s="38">
        <f>IF(DAY(H21)&lt;=21,H18,H18+1)</f>
        <v>48</v>
      </c>
      <c r="D18" s="11"/>
      <c r="E18" s="30">
        <f>IF(DAY(H21)&lt;=21,H18,H18+1)</f>
        <v>48</v>
      </c>
      <c r="F18" s="254" t="s">
        <v>11</v>
      </c>
      <c r="G18" s="255"/>
      <c r="H18" s="277">
        <v>48</v>
      </c>
      <c r="I18" s="278"/>
      <c r="J18" s="224" t="str">
        <f>IF(H18=0," ","месяцев")</f>
        <v>месяцев</v>
      </c>
      <c r="K18" s="224"/>
      <c r="L18" s="225"/>
      <c r="M18" s="39"/>
      <c r="N18" s="29"/>
      <c r="X18" s="29">
        <f>IF(U1=1,IF(J14="USD",0,C18),IF(U1=2,C18," "))</f>
        <v>48</v>
      </c>
      <c r="Y18" s="29"/>
      <c r="Z18" s="29"/>
      <c r="AA18" s="29"/>
      <c r="AB18" s="29"/>
      <c r="AC18" s="29"/>
      <c r="AD18" s="29"/>
      <c r="AE18" s="29"/>
      <c r="AO18" s="16">
        <v>48</v>
      </c>
      <c r="BJ18" s="16">
        <f>MAX(BJ31:BJ91)</f>
        <v>273.2679033333334</v>
      </c>
      <c r="BK18" s="16">
        <f>IF(H11&lt;BJ18,1,0)</f>
        <v>0</v>
      </c>
      <c r="BU18" s="15"/>
      <c r="BV18" s="15"/>
      <c r="BW18" s="15"/>
      <c r="EU18" s="3"/>
      <c r="EV18" s="3"/>
      <c r="EW18" s="3"/>
    </row>
    <row r="19" spans="3:153" ht="15" customHeight="1">
      <c r="C19" s="11"/>
      <c r="D19" s="11"/>
      <c r="E19" s="112"/>
      <c r="F19" s="271" t="s">
        <v>5</v>
      </c>
      <c r="G19" s="272"/>
      <c r="H19" s="251">
        <v>16.1</v>
      </c>
      <c r="I19" s="252"/>
      <c r="J19" s="161" t="str">
        <f>IF(H15=0," ","% годовых")</f>
        <v>% годовых</v>
      </c>
      <c r="K19" s="162"/>
      <c r="L19" s="163"/>
      <c r="M19" s="39"/>
      <c r="N19" s="29"/>
      <c r="X19" s="29"/>
      <c r="Y19" s="29"/>
      <c r="Z19" s="29"/>
      <c r="AA19" s="29"/>
      <c r="AB19" s="29"/>
      <c r="AC19" s="29"/>
      <c r="AD19" s="29"/>
      <c r="AE19" s="29"/>
      <c r="BU19" s="15"/>
      <c r="BV19" s="15"/>
      <c r="BW19" s="15"/>
      <c r="EU19" s="3"/>
      <c r="EV19" s="3"/>
      <c r="EW19" s="3"/>
    </row>
    <row r="20" spans="3:153" ht="14.25" hidden="1">
      <c r="C20" s="11"/>
      <c r="D20" s="11"/>
      <c r="E20" s="11"/>
      <c r="F20" s="275" t="s">
        <v>12</v>
      </c>
      <c r="G20" s="276"/>
      <c r="H20" s="265">
        <v>0</v>
      </c>
      <c r="I20" s="266"/>
      <c r="J20" s="40" t="str">
        <f>IF(H20&gt;4,"месяцев",IF(H20&gt;1,"месяца",IF(H20=1,"месяц","месяцев")))</f>
        <v>месяцев</v>
      </c>
      <c r="K20" s="41"/>
      <c r="L20" s="42"/>
      <c r="M20" s="39"/>
      <c r="N20" s="29"/>
      <c r="X20" s="29"/>
      <c r="Y20" s="29"/>
      <c r="Z20" s="29"/>
      <c r="AA20" s="29"/>
      <c r="AB20" s="29"/>
      <c r="AC20" s="29"/>
      <c r="AD20" s="29"/>
      <c r="AE20" s="29"/>
      <c r="AO20" s="16">
        <v>48</v>
      </c>
      <c r="BU20" s="15"/>
      <c r="BV20" s="15"/>
      <c r="BW20" s="15"/>
      <c r="EU20" s="3"/>
      <c r="EV20" s="3"/>
      <c r="EW20" s="3"/>
    </row>
    <row r="21" spans="3:153" ht="15.75" customHeight="1" thickBot="1">
      <c r="C21" s="43"/>
      <c r="D21" s="43"/>
      <c r="E21" s="43"/>
      <c r="F21" s="189" t="s">
        <v>13</v>
      </c>
      <c r="G21" s="190"/>
      <c r="H21" s="263">
        <v>43282</v>
      </c>
      <c r="I21" s="264"/>
      <c r="J21" s="184" t="s">
        <v>14</v>
      </c>
      <c r="K21" s="184"/>
      <c r="L21" s="185"/>
      <c r="M21" s="39"/>
      <c r="N21" s="29"/>
      <c r="X21" s="131">
        <f>C18-H20</f>
        <v>48</v>
      </c>
      <c r="Y21" s="29"/>
      <c r="Z21" s="29"/>
      <c r="AA21" s="29"/>
      <c r="AB21" s="29"/>
      <c r="AC21" s="29"/>
      <c r="AD21" s="29"/>
      <c r="AE21" s="29"/>
      <c r="BU21" s="15"/>
      <c r="BV21" s="15"/>
      <c r="BW21" s="15"/>
      <c r="EU21" s="3"/>
      <c r="EV21" s="3"/>
      <c r="EW21" s="3"/>
    </row>
    <row r="22" spans="3:153" ht="15.75" customHeight="1" hidden="1" thickBot="1">
      <c r="C22" s="24">
        <f>IF(C18&gt;61,1,0)</f>
        <v>0</v>
      </c>
      <c r="D22" s="24"/>
      <c r="E22" s="24"/>
      <c r="F22" s="269" t="s">
        <v>15</v>
      </c>
      <c r="G22" s="270"/>
      <c r="H22" s="186" t="s">
        <v>16</v>
      </c>
      <c r="I22" s="187"/>
      <c r="J22" s="187"/>
      <c r="K22" s="187"/>
      <c r="L22" s="188"/>
      <c r="M22" s="44"/>
      <c r="N22" s="132"/>
      <c r="O22" s="133"/>
      <c r="P22" s="133"/>
      <c r="Q22" s="133"/>
      <c r="R22" s="133"/>
      <c r="S22" s="133"/>
      <c r="T22" s="133"/>
      <c r="U22" s="133"/>
      <c r="V22" s="133"/>
      <c r="W22" s="133"/>
      <c r="X22" s="29"/>
      <c r="Y22" s="29"/>
      <c r="Z22" s="29"/>
      <c r="AA22" s="29"/>
      <c r="AB22" s="29"/>
      <c r="AC22" s="29"/>
      <c r="AD22" s="29"/>
      <c r="AE22" s="29"/>
      <c r="BU22" s="15"/>
      <c r="BV22" s="15"/>
      <c r="BW22" s="15"/>
      <c r="EU22" s="3"/>
      <c r="EV22" s="3"/>
      <c r="EW22" s="3"/>
    </row>
    <row r="23" spans="3:28" ht="29.25" customHeight="1">
      <c r="C23" s="24"/>
      <c r="D23" s="24"/>
      <c r="E23" s="24"/>
      <c r="F23" s="46"/>
      <c r="G23" s="46"/>
      <c r="H23" s="47"/>
      <c r="I23" s="47"/>
      <c r="J23" s="47"/>
      <c r="K23" s="44"/>
      <c r="L23" s="48"/>
      <c r="M23" s="45"/>
      <c r="N23" s="133"/>
      <c r="O23" s="133"/>
      <c r="P23" s="133"/>
      <c r="Q23" s="133"/>
      <c r="R23" s="133"/>
      <c r="S23" s="133"/>
      <c r="T23" s="133"/>
      <c r="U23" s="29"/>
      <c r="V23" s="29"/>
      <c r="W23" s="29"/>
      <c r="X23" s="29"/>
      <c r="Y23" s="29"/>
      <c r="Z23" s="29"/>
      <c r="AA23" s="29"/>
      <c r="AB23" s="29"/>
    </row>
    <row r="24" spans="3:28" ht="13.5" hidden="1" thickBot="1">
      <c r="C24" s="24"/>
      <c r="D24" s="24"/>
      <c r="E24" s="24"/>
      <c r="F24" s="258" t="s">
        <v>17</v>
      </c>
      <c r="G24" s="259"/>
      <c r="H24" s="260" t="s">
        <v>18</v>
      </c>
      <c r="I24" s="261"/>
      <c r="J24" s="262"/>
      <c r="K24" s="15"/>
      <c r="L24" s="15"/>
      <c r="M24" s="49"/>
      <c r="U24" s="29"/>
      <c r="V24" s="29"/>
      <c r="W24" s="29"/>
      <c r="X24" s="29"/>
      <c r="Y24" s="29"/>
      <c r="Z24" s="29"/>
      <c r="AA24" s="29"/>
      <c r="AB24" s="29"/>
    </row>
    <row r="25" spans="3:28" ht="12.75" hidden="1">
      <c r="C25" s="24"/>
      <c r="D25" s="24"/>
      <c r="E25" s="24"/>
      <c r="F25" s="15"/>
      <c r="G25" s="15"/>
      <c r="H25" s="250" t="s">
        <v>16</v>
      </c>
      <c r="I25" s="250"/>
      <c r="J25" s="250"/>
      <c r="K25" s="15"/>
      <c r="L25" s="15"/>
      <c r="M25" s="49"/>
      <c r="U25" s="29"/>
      <c r="V25" s="29"/>
      <c r="W25" s="29"/>
      <c r="X25" s="29"/>
      <c r="Y25" s="29"/>
      <c r="Z25" s="29"/>
      <c r="AA25" s="29"/>
      <c r="AB25" s="29"/>
    </row>
    <row r="26" spans="3:28" ht="12.75" hidden="1">
      <c r="C26" s="24"/>
      <c r="D26" s="24"/>
      <c r="E26" s="24"/>
      <c r="F26" s="15"/>
      <c r="G26" s="15"/>
      <c r="H26" s="250" t="s">
        <v>16</v>
      </c>
      <c r="I26" s="250"/>
      <c r="J26" s="250"/>
      <c r="K26" s="15"/>
      <c r="L26" s="15"/>
      <c r="M26" s="49"/>
      <c r="U26" s="29"/>
      <c r="V26" s="29"/>
      <c r="W26" s="29"/>
      <c r="X26" s="29"/>
      <c r="Y26" s="29"/>
      <c r="Z26" s="29"/>
      <c r="AA26" s="29"/>
      <c r="AB26" s="29"/>
    </row>
    <row r="27" spans="3:28" ht="12.75" hidden="1">
      <c r="C27" s="24"/>
      <c r="D27" s="24"/>
      <c r="E27" s="24"/>
      <c r="F27" s="15"/>
      <c r="G27" s="15"/>
      <c r="H27" s="250" t="s">
        <v>16</v>
      </c>
      <c r="I27" s="250"/>
      <c r="J27" s="250"/>
      <c r="K27" s="15"/>
      <c r="L27" s="15"/>
      <c r="M27" s="49"/>
      <c r="U27" s="29"/>
      <c r="V27" s="29"/>
      <c r="W27" s="29"/>
      <c r="X27" s="29"/>
      <c r="Y27" s="29"/>
      <c r="Z27" s="29"/>
      <c r="AA27" s="29"/>
      <c r="AB27" s="29"/>
    </row>
    <row r="28" spans="3:67" ht="12.75" hidden="1">
      <c r="C28" s="24"/>
      <c r="D28" s="24"/>
      <c r="E28" s="24"/>
      <c r="F28" s="15"/>
      <c r="G28" s="15"/>
      <c r="H28" s="249">
        <f>SUM(H31:I91)</f>
        <v>8000.0000000000055</v>
      </c>
      <c r="I28" s="250"/>
      <c r="J28" s="50">
        <f>SUM(J31:J92)/2</f>
        <v>1347.9787611111099</v>
      </c>
      <c r="K28" s="50">
        <v>0</v>
      </c>
      <c r="L28" s="50">
        <f>SUM(L31:L78)</f>
        <v>5347.9787611111105</v>
      </c>
      <c r="M28" s="51"/>
      <c r="N28" s="58"/>
      <c r="O28" s="58"/>
      <c r="P28" s="58"/>
      <c r="Q28" s="58"/>
      <c r="R28" s="58"/>
      <c r="S28" s="58"/>
      <c r="T28" s="58"/>
      <c r="U28" s="29"/>
      <c r="V28" s="29"/>
      <c r="W28" s="29"/>
      <c r="X28" s="29"/>
      <c r="Y28" s="29"/>
      <c r="Z28" s="29"/>
      <c r="AA28" s="29"/>
      <c r="AB28" s="29"/>
      <c r="BO28" s="16">
        <v>3</v>
      </c>
    </row>
    <row r="29" spans="3:67" ht="12.75" hidden="1">
      <c r="C29" s="24"/>
      <c r="D29" s="24"/>
      <c r="E29" s="24"/>
      <c r="F29" s="52"/>
      <c r="G29" s="53"/>
      <c r="H29" s="228"/>
      <c r="I29" s="229"/>
      <c r="J29" s="229"/>
      <c r="K29" s="229"/>
      <c r="L29" s="230"/>
      <c r="M29" s="54"/>
      <c r="N29" s="134"/>
      <c r="O29" s="134"/>
      <c r="P29" s="134"/>
      <c r="Q29" s="242" t="s">
        <v>20</v>
      </c>
      <c r="R29" s="242"/>
      <c r="S29" s="242"/>
      <c r="T29" s="242"/>
      <c r="U29" s="29"/>
      <c r="V29" s="29"/>
      <c r="W29" s="29"/>
      <c r="X29" s="29"/>
      <c r="Y29" s="29"/>
      <c r="Z29" s="29"/>
      <c r="AA29" s="29"/>
      <c r="AB29" s="29"/>
      <c r="BO29" s="16">
        <v>6</v>
      </c>
    </row>
    <row r="30" spans="3:67" ht="30" customHeight="1">
      <c r="C30" s="43">
        <f>0</f>
        <v>0</v>
      </c>
      <c r="D30" s="43"/>
      <c r="E30" s="43"/>
      <c r="F30" s="247" t="s">
        <v>19</v>
      </c>
      <c r="G30" s="248"/>
      <c r="H30" s="243" t="s">
        <v>21</v>
      </c>
      <c r="I30" s="244"/>
      <c r="J30" s="55" t="s">
        <v>22</v>
      </c>
      <c r="K30" s="55" t="s">
        <v>23</v>
      </c>
      <c r="L30" s="55" t="s">
        <v>24</v>
      </c>
      <c r="M30" s="21"/>
      <c r="N30" s="120"/>
      <c r="O30" s="120"/>
      <c r="P30" s="120"/>
      <c r="Q30" s="56" t="s">
        <v>21</v>
      </c>
      <c r="R30" s="56" t="s">
        <v>22</v>
      </c>
      <c r="S30" s="56" t="s">
        <v>23</v>
      </c>
      <c r="T30" s="56" t="s">
        <v>24</v>
      </c>
      <c r="V30" s="56" t="s">
        <v>25</v>
      </c>
      <c r="W30" s="56" t="s">
        <v>26</v>
      </c>
      <c r="X30" s="56" t="s">
        <v>27</v>
      </c>
      <c r="Y30" s="56" t="s">
        <v>28</v>
      </c>
      <c r="Z30" s="56" t="s">
        <v>29</v>
      </c>
      <c r="AA30" s="56">
        <v>2</v>
      </c>
      <c r="AB30" s="56"/>
      <c r="AC30" s="56" t="s">
        <v>30</v>
      </c>
      <c r="AD30" s="56" t="s">
        <v>31</v>
      </c>
      <c r="AE30" s="56" t="s">
        <v>32</v>
      </c>
      <c r="AF30" s="56" t="s">
        <v>32</v>
      </c>
      <c r="AG30" s="56"/>
      <c r="AH30" s="56"/>
      <c r="AI30" s="56"/>
      <c r="AJ30" s="56" t="s">
        <v>33</v>
      </c>
      <c r="AK30" s="56" t="s">
        <v>34</v>
      </c>
      <c r="AL30" s="56" t="s">
        <v>27</v>
      </c>
      <c r="AM30" s="56" t="s">
        <v>28</v>
      </c>
      <c r="AN30" s="56" t="s">
        <v>35</v>
      </c>
      <c r="AO30" s="56" t="s">
        <v>35</v>
      </c>
      <c r="AP30" s="56"/>
      <c r="AQ30" s="56"/>
      <c r="AR30" s="56" t="s">
        <v>29</v>
      </c>
      <c r="AS30" s="56" t="s">
        <v>30</v>
      </c>
      <c r="AT30" s="56" t="s">
        <v>31</v>
      </c>
      <c r="BO30" s="16">
        <v>12</v>
      </c>
    </row>
    <row r="31" spans="1:150" s="5" customFormat="1" ht="15" customHeight="1">
      <c r="A31" s="11"/>
      <c r="B31" s="11"/>
      <c r="C31" s="43">
        <v>1</v>
      </c>
      <c r="D31" s="43"/>
      <c r="E31" s="43"/>
      <c r="F31" s="245">
        <f>IF(V31=0,IF(V30=1,"ИТОГО"," "),DATE(YEAR(H21),MONTH(H21)+1,W31))</f>
        <v>43332</v>
      </c>
      <c r="G31" s="246"/>
      <c r="H31" s="216">
        <f>ROUNDUP(H14/X18,2)</f>
        <v>83.34</v>
      </c>
      <c r="I31" s="216"/>
      <c r="J31" s="151">
        <f>IF(U1=1,X31,IF(U1=2,Y31," "))</f>
        <v>51.87777777777779</v>
      </c>
      <c r="K31" s="151">
        <v>0</v>
      </c>
      <c r="L31" s="151">
        <f>SUM(H31:K31)+C93</f>
        <v>135.2177777777778</v>
      </c>
      <c r="M31" s="21"/>
      <c r="N31" s="120"/>
      <c r="O31" s="120"/>
      <c r="P31" s="120"/>
      <c r="Q31" s="135">
        <f>AB31</f>
        <v>0</v>
      </c>
      <c r="R31" s="135">
        <f aca="true" t="shared" si="0" ref="R31:R62">AI31</f>
        <v>51.87777777777779</v>
      </c>
      <c r="S31" s="135">
        <v>0</v>
      </c>
      <c r="T31" s="135">
        <f>SUM(Q31:S31)+C93</f>
        <v>51.87777777777779</v>
      </c>
      <c r="U31" s="29">
        <v>1</v>
      </c>
      <c r="V31" s="16">
        <f>IF(U1=1,IF(X18&gt;0,1,0),IF(U1=2,IF(X18&gt;0,1,0),0))</f>
        <v>1</v>
      </c>
      <c r="W31" s="16">
        <f aca="true" t="shared" si="1" ref="W31:W62">IF(H$18+1=C$18,IF(U31=C$18,IF(DATE(YEAR(0),MONTH(0),DAY(H$21)-1)&gt;BA31,DATE(YEAR(0),MONTH(0),DAY(H$21)-1),BA31),BA31),IF(U31=C$18,IF(DATE(YEAR(0),MONTH(0),DAY(H$21)-1)&lt;BA31,DATE(YEAR(0),MONTH(0),DAY(H$21)-1),BA31),BA31))</f>
        <v>20</v>
      </c>
      <c r="X31" s="58">
        <f>AC31</f>
        <v>51.87777777777779</v>
      </c>
      <c r="Y31" s="58">
        <f>AD31</f>
        <v>51.87777777777779</v>
      </c>
      <c r="Z31" s="58">
        <f>H14</f>
        <v>4000</v>
      </c>
      <c r="AA31" s="58">
        <f>IF(V31=0,0,IF(J14="USD",ROUND(H14/X18,2),IF(J14="бел. рублей",IF(BF31&lt;=5,ROUND(BD31,0)-BF31,ROUND(BD31,0)+BG31)," ")))</f>
        <v>0</v>
      </c>
      <c r="AB31" s="58">
        <f>IF(V31=0,0,IF(J14="USD",ROUND(H14/X18,2),IF(J14="бел. рублей",IF(BF31&lt;=5,ROUND(BD31,0)-BF31,ROUND(BD31,0)+BG31)," ")))</f>
        <v>0</v>
      </c>
      <c r="AC31" s="58">
        <f>Z31*AB15*H15/36000</f>
        <v>51.87777777777779</v>
      </c>
      <c r="AD31" s="58">
        <f>Z31*AB15*H15/36000</f>
        <v>51.87777777777779</v>
      </c>
      <c r="AE31" s="58">
        <f>IF(H14*AB15*H15/36000&lt;&gt;0,IF(VALUE(RIGHT(ROUND(H14*AB15*H15/36000,0)))&lt;=5,ROUND(H14*AB15*H15/36000,0)-VALUE(RIGHT(ROUND(H14*AB15*H15/36000,0))),ROUND(H14*AB15*H15/36000,0)+10-VALUE(RIGHT(ROUND(H14*AB15*H15/36000,0)))),0)</f>
        <v>50</v>
      </c>
      <c r="AF31" s="58">
        <f>IF(H14*AB15*H15/36000&lt;&gt;0,IF(VALUE(RIGHT(ROUND(H14*AB15*H15/36000,0)))&lt;=5,ROUND(H14*AB15*H15/36000,0)-VALUE(RIGHT(ROUND(H14*AB15*H15/36000,0))),ROUND(H14*AB15*H15/36000,0)+10-VALUE(RIGHT(ROUND(H14*AB15*H15/36000,0)))),0)</f>
        <v>50</v>
      </c>
      <c r="AG31" s="58">
        <f aca="true" t="shared" si="2" ref="AG31:AG62">IF(U31&lt;=(H$20+1),H$14,AG30-Q30)</f>
        <v>4000</v>
      </c>
      <c r="AH31" s="58">
        <f>AG31*AB15*H15/36000</f>
        <v>51.87777777777779</v>
      </c>
      <c r="AI31" s="58">
        <f>AH31</f>
        <v>51.87777777777779</v>
      </c>
      <c r="AJ31" s="58">
        <f>Z31*AB15</f>
        <v>116000</v>
      </c>
      <c r="AK31" s="58">
        <f>AG31*AB15</f>
        <v>116000</v>
      </c>
      <c r="AL31" s="58">
        <f aca="true" t="shared" si="3" ref="AL31:AL62">IF(AS31&lt;&gt;0,IF(VALUE(RIGHT(ROUND(AS31,0)))&lt;=5,ROUND(AS31,0)-VALUE(RIGHT(ROUND(AS31,0))),ROUND(AS31,0)+10-VALUE(RIGHT(ROUND(AS31,0)))),0)</f>
        <v>0</v>
      </c>
      <c r="AM31" s="58">
        <f aca="true" t="shared" si="4" ref="AM31:AM62">IF(AT31&lt;&gt;0,IF(VALUE(RIGHT(ROUND(AT31,0)))&lt;=5,ROUND(AT31,0)-VALUE(RIGHT(ROUND(AT31,0))),ROUND(AT31,0)+10-VALUE(RIGHT(ROUND(AT31,0)))),0)</f>
        <v>0</v>
      </c>
      <c r="AN31" s="58">
        <f>AR31*AB15*K16/36000</f>
        <v>0</v>
      </c>
      <c r="AO31" s="58">
        <f aca="true" t="shared" si="5" ref="AO31:AO62">IF(AN31&lt;&gt;0,IF(VALUE(RIGHT(ROUND(AN31,0)))&lt;=5,ROUND(AN31,0)-VALUE(RIGHT(ROUND(AN31,0))),ROUND(AN31,0)+10-VALUE(RIGHT(ROUND(AN31,0)))),0)</f>
        <v>0</v>
      </c>
      <c r="AP31" s="58">
        <f>AG31*AB15*K16/36000</f>
        <v>0</v>
      </c>
      <c r="AQ31" s="58">
        <f aca="true" t="shared" si="6" ref="AQ31:AQ62">IF(AP31&lt;&gt;0,IF(VALUE(RIGHT(ROUND(AP31,0)))&lt;=5,ROUND(AP31,0)-VALUE(RIGHT(ROUND(AP31,0))),ROUND(AP31,0)+10-VALUE(RIGHT(ROUND(AP31,0)))),0)</f>
        <v>0</v>
      </c>
      <c r="AR31" s="58">
        <f aca="true" t="shared" si="7" ref="AR31:AR62">Z31</f>
        <v>4000</v>
      </c>
      <c r="AS31" s="58">
        <f>AR31*AB15*K16/36000</f>
        <v>0</v>
      </c>
      <c r="AT31" s="58">
        <f>AR31*AB15*K16/36000</f>
        <v>0</v>
      </c>
      <c r="AU31" s="59">
        <f>IF(V31=0,0,MONTH(H21)+1)</f>
        <v>8</v>
      </c>
      <c r="AV31" s="59">
        <f aca="true" t="shared" si="8" ref="AV31:AV62">IF(AU31=13,1,AU31)</f>
        <v>8</v>
      </c>
      <c r="AW31" s="16">
        <f>IF(V31=0,0,YEAR(H21))</f>
        <v>2018</v>
      </c>
      <c r="AX31" s="16">
        <f aca="true" t="shared" si="9" ref="AX31:AX62">IF(AV31=1,AW31+1,AW31)</f>
        <v>2018</v>
      </c>
      <c r="AY31" s="16">
        <f aca="true" t="shared" si="10" ref="AY31:AY62">IF((AW31/2012)=1,1,IF((AW31/2016)=1,1,IF((AW31/2020)=1,1,IF((AW31/2024)=1,1,IF((AW31/2028)=1,1,IF((AW31/2032)=1,1,0))))))</f>
        <v>0</v>
      </c>
      <c r="AZ31" s="16">
        <f aca="true" t="shared" si="11" ref="AZ31:AZ62">IF(AV31=2,IF(AY31=1,29,28),30)</f>
        <v>30</v>
      </c>
      <c r="BA31" s="16">
        <f aca="true" t="shared" si="12" ref="BA31:BA62">IF(G$30=30,AZ31,20)</f>
        <v>20</v>
      </c>
      <c r="BB31" s="16"/>
      <c r="BC31" s="16"/>
      <c r="BD31" s="154">
        <f>ROUNDUP(IF(N31=0,0,IF(F10="USD",ROUND(H14/X18,2),IF(F10="бел. рублей",H14/X18," "))),2)</f>
        <v>0</v>
      </c>
      <c r="BE31" s="59" t="str">
        <f>RIGHT(BD31,2)</f>
        <v>0</v>
      </c>
      <c r="BF31" s="16">
        <f>VALUE(BE31)</f>
        <v>0</v>
      </c>
      <c r="BG31" s="16">
        <f>100-BF31</f>
        <v>100</v>
      </c>
      <c r="BH31" s="16">
        <f aca="true" t="shared" si="13" ref="BH31:BH62">IF(H$20=0,0,IF(V31=1,1,0))</f>
        <v>0</v>
      </c>
      <c r="BI31" s="16"/>
      <c r="BJ31" s="16">
        <f>IF(V31=1,L31*2,"")</f>
        <v>270.4355555555556</v>
      </c>
      <c r="BK31" s="16"/>
      <c r="BL31" s="16"/>
      <c r="BM31" s="16"/>
      <c r="BN31" s="16"/>
      <c r="BO31" s="16">
        <v>18</v>
      </c>
      <c r="BP31" s="16"/>
      <c r="BQ31" s="16"/>
      <c r="BR31" s="16"/>
      <c r="BS31" s="16"/>
      <c r="BT31" s="16"/>
      <c r="BU31" s="17"/>
      <c r="BV31" s="17"/>
      <c r="BW31" s="17"/>
      <c r="BX31" s="17"/>
      <c r="BY31" s="17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</row>
    <row r="32" spans="1:150" s="5" customFormat="1" ht="15" customHeight="1">
      <c r="A32" s="11"/>
      <c r="B32" s="11"/>
      <c r="C32" s="43">
        <f aca="true" t="shared" si="14" ref="C32:C54">C31+1</f>
        <v>2</v>
      </c>
      <c r="D32" s="43"/>
      <c r="E32" s="43"/>
      <c r="F32" s="169">
        <f aca="true" t="shared" si="15" ref="F32:F38">IF(V32=0,IF(V31=1,"ИТОГО"," "),IF(C$18=H$18+1,IF(U32=C$18,IF(MONTH(F31)=2,IF(DAY(H$21)&gt;29,DATE(YEAR(F31),MONTH(F31),BB32),DATE(YEAR(F31),MONTH(F31),W32)),DATE(YEAR(F31),MONTH(F31),W32)),DATE(YEAR(F31),MONTH(F31)+1,W32)),DATE(YEAR(F31),MONTH(F31)+1,W32)))</f>
        <v>43363</v>
      </c>
      <c r="G32" s="241"/>
      <c r="H32" s="216">
        <f>IF(V32=0,IF(V31=1,H31," "),IF(V32=0,0,IF(V33=1,H31,IF(V33=0,H14-H31*(X18-1)," "))))</f>
        <v>83.34</v>
      </c>
      <c r="I32" s="216"/>
      <c r="J32" s="151">
        <f>IF(V32=0,IF(V31=1,J31," "),IF(U1=1,X32,IF(U1=2,Y32," ")))</f>
        <v>53.29395166666667</v>
      </c>
      <c r="K32" s="151">
        <v>0</v>
      </c>
      <c r="L32" s="151">
        <f aca="true" t="shared" si="16" ref="L32:L63">IF(SUM(H32:K32)=0," ",SUM(H32:K32))</f>
        <v>136.6339516666667</v>
      </c>
      <c r="M32" s="21"/>
      <c r="N32" s="120"/>
      <c r="O32" s="120"/>
      <c r="P32" s="120"/>
      <c r="Q32" s="135">
        <f aca="true" t="shared" si="17" ref="Q32:Q63">IF(V32=1,IF(V33=1,IF(U32&lt;=H$20,AB32,BE$32),H$14-BE$32*X$21+BE$32),0)</f>
        <v>80</v>
      </c>
      <c r="R32" s="135">
        <f t="shared" si="0"/>
        <v>53.66666666666668</v>
      </c>
      <c r="S32" s="135">
        <v>0</v>
      </c>
      <c r="T32" s="135">
        <f aca="true" t="shared" si="18" ref="T32:T63">IF(SUM(Q32:S32)=0," ",SUM(Q32:S32))</f>
        <v>133.66666666666669</v>
      </c>
      <c r="U32" s="29">
        <f aca="true" t="shared" si="19" ref="U32:U54">U31+1</f>
        <v>2</v>
      </c>
      <c r="V32" s="16">
        <f>IF(U1=1,IF(X18&gt;1,1,0),IF(U1=2,IF(X18&gt;1,1,0),0))</f>
        <v>1</v>
      </c>
      <c r="W32" s="16">
        <f t="shared" si="1"/>
        <v>20</v>
      </c>
      <c r="X32" s="58">
        <f aca="true" t="shared" si="20" ref="X32:X91">AC32</f>
        <v>53.29395166666667</v>
      </c>
      <c r="Y32" s="58">
        <f aca="true" t="shared" si="21" ref="Y32:Y91">AD32</f>
        <v>53.29395166666667</v>
      </c>
      <c r="Z32" s="58">
        <f aca="true" t="shared" si="22" ref="Z32:Z63">IF(V32=0,0,Z31-H31)</f>
        <v>3916.66</v>
      </c>
      <c r="AA32" s="58">
        <f aca="true" t="shared" si="23" ref="AA32:AA63">IF(U32&lt;=H$20,H$14/(H$18-U31),H32)</f>
        <v>83.34</v>
      </c>
      <c r="AB32" s="58">
        <f aca="true" t="shared" si="24" ref="AB32:AB63">IF(AA32&lt;&gt;0,IF(VALUE(RIGHT(ROUND(AA32,0)))&lt;=5,ROUND(AA32,0)-VALUE(RIGHT(ROUND(AA32,0))),ROUND(AA32,0)+10-VALUE(RIGHT(ROUND(AA32,0)))),0)</f>
        <v>80</v>
      </c>
      <c r="AC32" s="58">
        <f>IF(V33=1,Z31*H15*20/36000+Z32*H15*10/36000,IF(V33=0,IF(V32=0,0,Z32*H15*AB16/36000+Z31*H15*20/36000+Z32*H15*10/36000)))</f>
        <v>53.29395166666667</v>
      </c>
      <c r="AD32" s="58">
        <f>IF(V33=1,Z31*H15*20/36000+Z32*H15*10/36000,IF(V33=0,IF(V32=0,0,Z32*H15*AB16/36000+Z31*H15*20/36000+Z32*H15*10/36000)))</f>
        <v>53.29395166666667</v>
      </c>
      <c r="AE32" s="58">
        <f aca="true" t="shared" si="25" ref="AE32:AE63">IF(V33=1,$H$14*$H$15*20/36000+$H$14*$H$15*10/36000,IF(V33=0,IF(V32=0,0,$H$14*$H$15*$AB$16/36000+$H$14*$H$15*20/36000+$H$14*$H$15*10/36000)))</f>
        <v>53.66666666666668</v>
      </c>
      <c r="AF32" s="58">
        <f aca="true" t="shared" si="26" ref="AF32:AF63">IF(AE32&lt;&gt;0,IF(VALUE(RIGHT(ROUND(AE32,0)))&lt;=5,ROUND(AE32,0)-VALUE(RIGHT(ROUND(AE32,0))),ROUND(AE32,0)+10-VALUE(RIGHT(ROUND(AE32,0)))),0)</f>
        <v>50</v>
      </c>
      <c r="AG32" s="58">
        <f t="shared" si="2"/>
        <v>4000</v>
      </c>
      <c r="AH32" s="58">
        <f>IF(V33=1,AG31*H$15*20/36000+AG32*H$15*10/36000,IF(V33=0,IF(V32=0,0,AG32*H$15*AB$16/36000+AG31*H$15*20/36000+AG32*H$15*10/36000)))</f>
        <v>53.66666666666668</v>
      </c>
      <c r="AI32" s="58">
        <f aca="true" t="shared" si="27" ref="AI32:AI91">AH32</f>
        <v>53.66666666666668</v>
      </c>
      <c r="AJ32" s="58">
        <f>IF(Z33=0,Z32*AB16,(Z31*20+Z32*10))</f>
        <v>119166.6</v>
      </c>
      <c r="AK32" s="58">
        <f>IF(AG33=0,AG32*AB16,(AG31*20+AG32*10))</f>
        <v>120000</v>
      </c>
      <c r="AL32" s="58">
        <f t="shared" si="3"/>
        <v>0</v>
      </c>
      <c r="AM32" s="58">
        <f t="shared" si="4"/>
        <v>0</v>
      </c>
      <c r="AN32" s="58">
        <f aca="true" t="shared" si="28" ref="AN32:AN63">IF(V33=1,H$14*K$16*20/36000+H$14*K$16*10/36000,IF(V33=0,IF(V32=0,0,H$14*K$16*AB$16/36000+H$14*K$16*20/36000+H$14*K$16*10/36000)))</f>
        <v>0</v>
      </c>
      <c r="AO32" s="58">
        <f t="shared" si="5"/>
        <v>0</v>
      </c>
      <c r="AP32" s="58">
        <f aca="true" t="shared" si="29" ref="AP32:AP63">IF(V33=1,AG31*K$16*20/36000+AG32*K$16*10/36000,IF(V33=0,IF(V32=0,0,AG32*K$16*AB$16/36000+AG31*K$16*20/36000+AG32*K$16*10/36000)))</f>
        <v>0</v>
      </c>
      <c r="AQ32" s="58">
        <f t="shared" si="6"/>
        <v>0</v>
      </c>
      <c r="AR32" s="58">
        <f t="shared" si="7"/>
        <v>3916.66</v>
      </c>
      <c r="AS32" s="58">
        <f>IF(V33=1,AR31*K16*20/36000+AR32*K16*10/36000,IF(V33=0,IF(V32=0,0,AR32*K16*AB16/36000+AR31*K16*20/36000+AR32*K16*10/36000)))</f>
        <v>0</v>
      </c>
      <c r="AT32" s="58">
        <f>IF(V33=1,AR31*K16*20/36000+AR32*K16*10/36000,IF(V33=0,IF(V32=0,0,AR32*K16*AB16/36000+AR31*K16*20/36000+AR32*K16*10/36000)))</f>
        <v>0</v>
      </c>
      <c r="AU32" s="59">
        <f aca="true" t="shared" si="30" ref="AU32:AU63">IF(V32=0,0,MONTH(F31)+1)</f>
        <v>9</v>
      </c>
      <c r="AV32" s="59">
        <f t="shared" si="8"/>
        <v>9</v>
      </c>
      <c r="AW32" s="16">
        <f aca="true" t="shared" si="31" ref="AW32:AW63">IF(V32=0,0,YEAR(F31))</f>
        <v>2018</v>
      </c>
      <c r="AX32" s="16">
        <f t="shared" si="9"/>
        <v>2018</v>
      </c>
      <c r="AY32" s="16">
        <f t="shared" si="10"/>
        <v>0</v>
      </c>
      <c r="AZ32" s="16">
        <f t="shared" si="11"/>
        <v>30</v>
      </c>
      <c r="BA32" s="16">
        <f t="shared" si="12"/>
        <v>20</v>
      </c>
      <c r="BB32" s="16">
        <f aca="true" t="shared" si="32" ref="BB32:BB63">AZ31</f>
        <v>30</v>
      </c>
      <c r="BC32" s="16"/>
      <c r="BD32" s="16">
        <f>ROUNDUP(H$14/(C$18-H$20),0)</f>
        <v>84</v>
      </c>
      <c r="BE32" s="58">
        <f>IF(BD32&lt;&gt;0,IF(VALUE(RIGHT(ROUND(BD32,0)))&lt;=5,ROUND(BD32,0)-VALUE(RIGHT(ROUND(BD32,0))),ROUND(BD32,0)+10-VALUE(RIGHT(ROUND(BD32,0)))),0)</f>
        <v>80</v>
      </c>
      <c r="BF32" s="16"/>
      <c r="BG32" s="16"/>
      <c r="BH32" s="16">
        <f t="shared" si="13"/>
        <v>0</v>
      </c>
      <c r="BI32" s="16"/>
      <c r="BJ32" s="16">
        <f aca="true" t="shared" si="33" ref="BJ32:BJ91">IF(V32=1,L32*2,"")</f>
        <v>273.2679033333334</v>
      </c>
      <c r="BK32" s="16"/>
      <c r="BL32" s="16"/>
      <c r="BM32" s="16"/>
      <c r="BN32" s="16"/>
      <c r="BO32" s="16">
        <v>24</v>
      </c>
      <c r="BP32" s="16"/>
      <c r="BQ32" s="16"/>
      <c r="BR32" s="16"/>
      <c r="BS32" s="16"/>
      <c r="BT32" s="16"/>
      <c r="BU32" s="17"/>
      <c r="BV32" s="17"/>
      <c r="BW32" s="17"/>
      <c r="BX32" s="17"/>
      <c r="BY32" s="17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</row>
    <row r="33" spans="1:150" s="5" customFormat="1" ht="15" customHeight="1">
      <c r="A33" s="11"/>
      <c r="B33" s="11"/>
      <c r="C33" s="43">
        <f t="shared" si="14"/>
        <v>3</v>
      </c>
      <c r="D33" s="43"/>
      <c r="E33" s="43"/>
      <c r="F33" s="169">
        <f t="shared" si="15"/>
        <v>43393</v>
      </c>
      <c r="G33" s="170"/>
      <c r="H33" s="216">
        <f>IF(V33=0,IF(V32=1,H31+H32," "),IF(V33=0,0,IF(V34=1,H31,IF(V34=0,H14-H31*(X18-1)," "))))</f>
        <v>83.34</v>
      </c>
      <c r="I33" s="216"/>
      <c r="J33" s="151">
        <f>IF(V33=0,IF(V32=1,J31+J32," "),IF(U1=1,X33,IF(U1=2,Y33," ")))</f>
        <v>52.17580666666667</v>
      </c>
      <c r="K33" s="151">
        <v>0</v>
      </c>
      <c r="L33" s="151">
        <f t="shared" si="16"/>
        <v>135.51580666666666</v>
      </c>
      <c r="M33" s="21"/>
      <c r="N33" s="120"/>
      <c r="O33" s="120"/>
      <c r="P33" s="120"/>
      <c r="Q33" s="135">
        <f t="shared" si="17"/>
        <v>80</v>
      </c>
      <c r="R33" s="135">
        <f t="shared" si="0"/>
        <v>53.3088888888889</v>
      </c>
      <c r="S33" s="135">
        <v>0</v>
      </c>
      <c r="T33" s="135">
        <f t="shared" si="18"/>
        <v>133.3088888888889</v>
      </c>
      <c r="U33" s="29">
        <f t="shared" si="19"/>
        <v>3</v>
      </c>
      <c r="V33" s="16">
        <f>IF(U1=1,IF(X18&gt;2,1,0),IF(U1=2,IF(X18&gt;2,1,0),0))</f>
        <v>1</v>
      </c>
      <c r="W33" s="16">
        <f t="shared" si="1"/>
        <v>20</v>
      </c>
      <c r="X33" s="58">
        <f t="shared" si="20"/>
        <v>52.17580666666667</v>
      </c>
      <c r="Y33" s="58">
        <f t="shared" si="21"/>
        <v>52.17580666666667</v>
      </c>
      <c r="Z33" s="58">
        <f t="shared" si="22"/>
        <v>3833.3199999999997</v>
      </c>
      <c r="AA33" s="58">
        <f t="shared" si="23"/>
        <v>83.34</v>
      </c>
      <c r="AB33" s="58">
        <f t="shared" si="24"/>
        <v>80</v>
      </c>
      <c r="AC33" s="58">
        <f>IF(V34=1,Z32*H15*20/36000+Z33*H15*10/36000,IF(V34=0,IF(V33=0,0,Z33*H15*AB16/36000+Z32*H15*20/36000+Z33*H15*10/36000)))</f>
        <v>52.17580666666667</v>
      </c>
      <c r="AD33" s="58">
        <f>IF(V34=1,Z32*H15*20/36000+Z33*H15*10/36000,IF(V34=0,IF(V33=0,0,Z33*H15*AB16/36000+Z32*H15*20/36000+Z33*H15*10/36000)))</f>
        <v>52.17580666666667</v>
      </c>
      <c r="AE33" s="58">
        <f t="shared" si="25"/>
        <v>53.66666666666668</v>
      </c>
      <c r="AF33" s="58">
        <f t="shared" si="26"/>
        <v>50</v>
      </c>
      <c r="AG33" s="58">
        <f t="shared" si="2"/>
        <v>3920</v>
      </c>
      <c r="AH33" s="58">
        <f>IF(V34=1,AG32*H$15*20/36000+AG33*H$15*10/36000,IF(V34=0,IF(V33=0,0,AG33*H$15*AB$16/36000+AG32*H$15*20/36000+AG33*H$15*10/36000)))</f>
        <v>53.3088888888889</v>
      </c>
      <c r="AI33" s="58">
        <f t="shared" si="27"/>
        <v>53.3088888888889</v>
      </c>
      <c r="AJ33" s="58">
        <f>IF(Z34=0,Z33*AB16,(Z32*20+Z33*10))</f>
        <v>116666.4</v>
      </c>
      <c r="AK33" s="58">
        <f>IF(AG34=0,AG33*AB17,(AG32*20+AG33*10))</f>
        <v>119200</v>
      </c>
      <c r="AL33" s="58">
        <f t="shared" si="3"/>
        <v>0</v>
      </c>
      <c r="AM33" s="58">
        <f t="shared" si="4"/>
        <v>0</v>
      </c>
      <c r="AN33" s="58">
        <f t="shared" si="28"/>
        <v>0</v>
      </c>
      <c r="AO33" s="58">
        <f t="shared" si="5"/>
        <v>0</v>
      </c>
      <c r="AP33" s="58">
        <f t="shared" si="29"/>
        <v>0</v>
      </c>
      <c r="AQ33" s="58">
        <f t="shared" si="6"/>
        <v>0</v>
      </c>
      <c r="AR33" s="58">
        <f t="shared" si="7"/>
        <v>3833.3199999999997</v>
      </c>
      <c r="AS33" s="58">
        <f>IF(V34=1,AR32*K16*20/36000+AR33*K16*10/36000,IF(V34=0,IF(V33=0,0,AR33*K16*AB16/36000+AR32*K16*20/36000+AR33*K16*10/36000)))</f>
        <v>0</v>
      </c>
      <c r="AT33" s="58">
        <f>IF(V34=1,AR32*K16*20/36000+AR33*K16*10/36000,IF(V34=0,IF(V33=0,0,AR33*K16*AB16/36000+AR32*K16*20/36000+AR33*K16*10/36000)))</f>
        <v>0</v>
      </c>
      <c r="AU33" s="59">
        <f t="shared" si="30"/>
        <v>10</v>
      </c>
      <c r="AV33" s="59">
        <f t="shared" si="8"/>
        <v>10</v>
      </c>
      <c r="AW33" s="16">
        <f t="shared" si="31"/>
        <v>2018</v>
      </c>
      <c r="AX33" s="16">
        <f t="shared" si="9"/>
        <v>2018</v>
      </c>
      <c r="AY33" s="16">
        <f t="shared" si="10"/>
        <v>0</v>
      </c>
      <c r="AZ33" s="16">
        <f t="shared" si="11"/>
        <v>30</v>
      </c>
      <c r="BA33" s="16">
        <f t="shared" si="12"/>
        <v>20</v>
      </c>
      <c r="BB33" s="16">
        <f t="shared" si="32"/>
        <v>30</v>
      </c>
      <c r="BC33" s="16"/>
      <c r="BD33" s="16"/>
      <c r="BE33" s="16"/>
      <c r="BF33" s="16"/>
      <c r="BG33" s="16"/>
      <c r="BH33" s="16">
        <f t="shared" si="13"/>
        <v>0</v>
      </c>
      <c r="BI33" s="16"/>
      <c r="BJ33" s="16">
        <f t="shared" si="33"/>
        <v>271.0316133333333</v>
      </c>
      <c r="BK33" s="16"/>
      <c r="BL33" s="16"/>
      <c r="BM33" s="16"/>
      <c r="BN33" s="16"/>
      <c r="BO33" s="16">
        <v>36</v>
      </c>
      <c r="BP33" s="16"/>
      <c r="BQ33" s="16"/>
      <c r="BR33" s="16"/>
      <c r="BS33" s="16"/>
      <c r="BT33" s="16"/>
      <c r="BU33" s="17"/>
      <c r="BV33" s="17"/>
      <c r="BW33" s="17"/>
      <c r="BX33" s="17"/>
      <c r="BY33" s="17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</row>
    <row r="34" spans="1:150" s="5" customFormat="1" ht="15" customHeight="1">
      <c r="A34" s="11"/>
      <c r="B34" s="11"/>
      <c r="C34" s="43">
        <f t="shared" si="14"/>
        <v>4</v>
      </c>
      <c r="D34" s="43"/>
      <c r="E34" s="43"/>
      <c r="F34" s="213">
        <f t="shared" si="15"/>
        <v>43424</v>
      </c>
      <c r="G34" s="214"/>
      <c r="H34" s="217">
        <f>IF(V34=0,IF(V33=1,H31+H32+H33," "),IF(V34=0,0,IF(V35=1,H31,IF(V35=0,H14-H31*(X18-1)," "))))</f>
        <v>83.34</v>
      </c>
      <c r="I34" s="217"/>
      <c r="J34" s="152">
        <f>IF(V34=0,IF(V33=1,J31+J32+J33," "),IF(U1=1,X34,IF(U1=2,Y34," ")))</f>
        <v>51.057661666666675</v>
      </c>
      <c r="K34" s="152">
        <v>0</v>
      </c>
      <c r="L34" s="152">
        <f t="shared" si="16"/>
        <v>134.3976616666667</v>
      </c>
      <c r="M34" s="21"/>
      <c r="N34" s="120"/>
      <c r="O34" s="120"/>
      <c r="P34" s="120"/>
      <c r="Q34" s="135">
        <f t="shared" si="17"/>
        <v>80</v>
      </c>
      <c r="R34" s="135">
        <f t="shared" si="0"/>
        <v>52.235555555555564</v>
      </c>
      <c r="S34" s="135">
        <v>0</v>
      </c>
      <c r="T34" s="135">
        <f t="shared" si="18"/>
        <v>132.23555555555555</v>
      </c>
      <c r="U34" s="29">
        <f t="shared" si="19"/>
        <v>4</v>
      </c>
      <c r="V34" s="16">
        <f>IF(U1=1,IF(X18&gt;3,1,0),IF(U1=2,IF(X18&gt;3,1,0),0))</f>
        <v>1</v>
      </c>
      <c r="W34" s="16">
        <f t="shared" si="1"/>
        <v>20</v>
      </c>
      <c r="X34" s="58">
        <f t="shared" si="20"/>
        <v>51.057661666666675</v>
      </c>
      <c r="Y34" s="58">
        <f t="shared" si="21"/>
        <v>51.057661666666675</v>
      </c>
      <c r="Z34" s="58">
        <f t="shared" si="22"/>
        <v>3749.9799999999996</v>
      </c>
      <c r="AA34" s="58">
        <f t="shared" si="23"/>
        <v>83.34</v>
      </c>
      <c r="AB34" s="58">
        <f t="shared" si="24"/>
        <v>80</v>
      </c>
      <c r="AC34" s="58">
        <f>IF(V35=1,Z33*H$15*20/36000+Z34*H$15*10/36000,IF(V35=0,IF(V34=0,0,IF(H12&gt;20,Z33*H$15*20/36000+Z34*H$15*(AB$16-20)/36000,Z34*H$15*AB$16/36000))))</f>
        <v>51.057661666666675</v>
      </c>
      <c r="AD34" s="58">
        <f>IF(V35=1,Z33*H$15*20/36000+Z34*H$15*10/36000,IF(V35=0,IF(V34=0,0,IF(H12&gt;20,Z33*H$15*20/36000+Z34*H$15*(AB$16-20)/36000,Z34*H$15*AB$16/36000))))</f>
        <v>51.057661666666675</v>
      </c>
      <c r="AE34" s="58">
        <f t="shared" si="25"/>
        <v>53.66666666666668</v>
      </c>
      <c r="AF34" s="58">
        <f t="shared" si="26"/>
        <v>50</v>
      </c>
      <c r="AG34" s="58">
        <f t="shared" si="2"/>
        <v>3840</v>
      </c>
      <c r="AH34" s="58">
        <f>IF(V35=1,AG33*H$15*20/36000+AG34*H$15*10/36000,IF(V35=0,IF(V34=0,0,AG34*H$15*AB$16/36000+AG33*H$15*20/36000+AG34*H$15*10/36000)))</f>
        <v>52.235555555555564</v>
      </c>
      <c r="AI34" s="58">
        <f t="shared" si="27"/>
        <v>52.235555555555564</v>
      </c>
      <c r="AJ34" s="58">
        <f>IF(Z35=0,Z34*AB16,(Z33*20+Z34*10))</f>
        <v>114166.19999999998</v>
      </c>
      <c r="AK34" s="58">
        <f>IF(AG35=0,AG34*AB18,(AG33*20+AG34*10))</f>
        <v>116800</v>
      </c>
      <c r="AL34" s="58">
        <f t="shared" si="3"/>
        <v>0</v>
      </c>
      <c r="AM34" s="58">
        <f t="shared" si="4"/>
        <v>0</v>
      </c>
      <c r="AN34" s="58">
        <f t="shared" si="28"/>
        <v>0</v>
      </c>
      <c r="AO34" s="58">
        <f t="shared" si="5"/>
        <v>0</v>
      </c>
      <c r="AP34" s="58">
        <f t="shared" si="29"/>
        <v>0</v>
      </c>
      <c r="AQ34" s="58">
        <f t="shared" si="6"/>
        <v>0</v>
      </c>
      <c r="AR34" s="58">
        <f t="shared" si="7"/>
        <v>3749.9799999999996</v>
      </c>
      <c r="AS34" s="58">
        <f>IF(V35=1,AR33*K16*20/36000+AR34*K16*10/36000,IF(V35=0,IF(V34=0,0,AR34*K16*AB16/36000+AR33*K16*20/36000+AR34*K16*10/36000)))</f>
        <v>0</v>
      </c>
      <c r="AT34" s="58">
        <f>IF(V35=1,AR33*K16*20/36000+AR34*K16*10/36000,IF(V35=0,IF(V34=0,0,AR34*K16*AB16/36000+AR33*K16*20/36000+AR34*K16*10/36000)))</f>
        <v>0</v>
      </c>
      <c r="AU34" s="59">
        <f t="shared" si="30"/>
        <v>11</v>
      </c>
      <c r="AV34" s="59">
        <f t="shared" si="8"/>
        <v>11</v>
      </c>
      <c r="AW34" s="16">
        <f t="shared" si="31"/>
        <v>2018</v>
      </c>
      <c r="AX34" s="16">
        <f t="shared" si="9"/>
        <v>2018</v>
      </c>
      <c r="AY34" s="16">
        <f t="shared" si="10"/>
        <v>0</v>
      </c>
      <c r="AZ34" s="16">
        <f t="shared" si="11"/>
        <v>30</v>
      </c>
      <c r="BA34" s="16">
        <f t="shared" si="12"/>
        <v>20</v>
      </c>
      <c r="BB34" s="16">
        <f t="shared" si="32"/>
        <v>30</v>
      </c>
      <c r="BC34" s="16"/>
      <c r="BD34" s="16"/>
      <c r="BE34" s="16"/>
      <c r="BF34" s="16"/>
      <c r="BG34" s="16"/>
      <c r="BH34" s="16">
        <f t="shared" si="13"/>
        <v>0</v>
      </c>
      <c r="BI34" s="16"/>
      <c r="BJ34" s="16">
        <f t="shared" si="33"/>
        <v>268.7953233333334</v>
      </c>
      <c r="BK34" s="16"/>
      <c r="BL34" s="16"/>
      <c r="BM34" s="16"/>
      <c r="BN34" s="16"/>
      <c r="BO34" s="16">
        <v>48</v>
      </c>
      <c r="BP34" s="16"/>
      <c r="BQ34" s="16"/>
      <c r="BR34" s="16"/>
      <c r="BS34" s="16"/>
      <c r="BT34" s="16"/>
      <c r="BU34" s="17"/>
      <c r="BV34" s="17"/>
      <c r="BW34" s="17"/>
      <c r="BX34" s="17"/>
      <c r="BY34" s="17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</row>
    <row r="35" spans="1:150" s="5" customFormat="1" ht="15" customHeight="1">
      <c r="A35" s="11"/>
      <c r="B35" s="11"/>
      <c r="C35" s="43">
        <f t="shared" si="14"/>
        <v>5</v>
      </c>
      <c r="D35" s="43"/>
      <c r="E35" s="43"/>
      <c r="F35" s="213">
        <f t="shared" si="15"/>
        <v>43454</v>
      </c>
      <c r="G35" s="214"/>
      <c r="H35" s="217">
        <f>IF(V35=0,IF(V34=1,H31+H32+H33+H34," "),IF(V35=0,0,IF(V36=1,H31,IF(V36=0,H14-H31*(X18-1)," "))))</f>
        <v>83.34</v>
      </c>
      <c r="I35" s="217"/>
      <c r="J35" s="152">
        <f>IF(V35=0,IF(V34=1,J31+J32+J33+J34," "),IF(U1=1,X35,IF(U1=2,Y35," ")))</f>
        <v>49.93951666666667</v>
      </c>
      <c r="K35" s="152">
        <v>0</v>
      </c>
      <c r="L35" s="152">
        <f t="shared" si="16"/>
        <v>133.27951666666667</v>
      </c>
      <c r="M35" s="21"/>
      <c r="N35" s="120"/>
      <c r="O35" s="120"/>
      <c r="P35" s="120"/>
      <c r="Q35" s="135">
        <f t="shared" si="17"/>
        <v>80</v>
      </c>
      <c r="R35" s="135">
        <f t="shared" si="0"/>
        <v>51.162222222222226</v>
      </c>
      <c r="S35" s="135">
        <v>0</v>
      </c>
      <c r="T35" s="135">
        <f t="shared" si="18"/>
        <v>131.16222222222223</v>
      </c>
      <c r="U35" s="29">
        <f t="shared" si="19"/>
        <v>5</v>
      </c>
      <c r="V35" s="16">
        <f>IF(U1=1,IF(X18&gt;4,1,0),IF(U1=2,IF(X18&gt;4,1,0),0))</f>
        <v>1</v>
      </c>
      <c r="W35" s="16">
        <f t="shared" si="1"/>
        <v>20</v>
      </c>
      <c r="X35" s="58">
        <f t="shared" si="20"/>
        <v>49.93951666666667</v>
      </c>
      <c r="Y35" s="58">
        <f t="shared" si="21"/>
        <v>49.93951666666667</v>
      </c>
      <c r="Z35" s="58">
        <f t="shared" si="22"/>
        <v>3666.6399999999994</v>
      </c>
      <c r="AA35" s="58">
        <f t="shared" si="23"/>
        <v>83.34</v>
      </c>
      <c r="AB35" s="58">
        <f t="shared" si="24"/>
        <v>80</v>
      </c>
      <c r="AC35" s="58">
        <f>IF(V36=1,Z34*H15*20/36000+Z35*H15*10/36000,IF(V36=0,IF(V35=0,0,Z35*H15*AB16/36000+Z34*H15*20/36000+Z35*H15*10/36000)))</f>
        <v>49.93951666666667</v>
      </c>
      <c r="AD35" s="58">
        <f>IF(V36=1,Z34*H15*20/36000+Z35*H15*10/36000,IF(V36=0,IF(V35=0,0,Z35*H15*AB16/36000+Z34*H15*20/36000+Z35*H15*10/36000)))</f>
        <v>49.93951666666667</v>
      </c>
      <c r="AE35" s="58">
        <f t="shared" si="25"/>
        <v>53.66666666666668</v>
      </c>
      <c r="AF35" s="58">
        <f t="shared" si="26"/>
        <v>50</v>
      </c>
      <c r="AG35" s="58">
        <f t="shared" si="2"/>
        <v>3760</v>
      </c>
      <c r="AH35" s="58">
        <f>IF(V36=1,AG34*H$15*20/36000+AG35*H$15*10/36000,IF(V36=0,IF(V35=0,0,AG35*H$15*AB$16/36000+AG34*H$15*20/36000+AG35*H$15*10/36000)))</f>
        <v>51.162222222222226</v>
      </c>
      <c r="AI35" s="58">
        <f t="shared" si="27"/>
        <v>51.162222222222226</v>
      </c>
      <c r="AJ35" s="58">
        <f>IF(Z36=0,Z35*AB16,(Z34*20+Z35*10))</f>
        <v>111665.99999999999</v>
      </c>
      <c r="AK35" s="58">
        <f>IF(AG36=0,AG35*AB20,(AG34*20+AG35*10))</f>
        <v>114400</v>
      </c>
      <c r="AL35" s="58">
        <f t="shared" si="3"/>
        <v>0</v>
      </c>
      <c r="AM35" s="58">
        <f t="shared" si="4"/>
        <v>0</v>
      </c>
      <c r="AN35" s="58">
        <f t="shared" si="28"/>
        <v>0</v>
      </c>
      <c r="AO35" s="58">
        <f t="shared" si="5"/>
        <v>0</v>
      </c>
      <c r="AP35" s="58">
        <f t="shared" si="29"/>
        <v>0</v>
      </c>
      <c r="AQ35" s="58">
        <f t="shared" si="6"/>
        <v>0</v>
      </c>
      <c r="AR35" s="58">
        <f t="shared" si="7"/>
        <v>3666.6399999999994</v>
      </c>
      <c r="AS35" s="58">
        <f>IF(V36=1,AR34*K16*20/36000+AR35*K16*10/36000,IF(V36=0,IF(V35=0,0,AR35*K16*AB16/36000+AR34*K16*20/36000+AR35*K16*10/36000)))</f>
        <v>0</v>
      </c>
      <c r="AT35" s="58">
        <f>IF(V36=1,AR34*K16*20/36000+AR35*K16*10/36000,IF(V36=0,IF(V35=0,0,AR35*K16*AB16/36000+AR34*K16*20/36000+AR35*K16*10/36000)))</f>
        <v>0</v>
      </c>
      <c r="AU35" s="59">
        <f t="shared" si="30"/>
        <v>12</v>
      </c>
      <c r="AV35" s="59">
        <f t="shared" si="8"/>
        <v>12</v>
      </c>
      <c r="AW35" s="16">
        <f t="shared" si="31"/>
        <v>2018</v>
      </c>
      <c r="AX35" s="16">
        <f t="shared" si="9"/>
        <v>2018</v>
      </c>
      <c r="AY35" s="16">
        <f t="shared" si="10"/>
        <v>0</v>
      </c>
      <c r="AZ35" s="16">
        <f t="shared" si="11"/>
        <v>30</v>
      </c>
      <c r="BA35" s="16">
        <f t="shared" si="12"/>
        <v>20</v>
      </c>
      <c r="BB35" s="16">
        <f t="shared" si="32"/>
        <v>30</v>
      </c>
      <c r="BC35" s="16"/>
      <c r="BD35" s="16"/>
      <c r="BE35" s="16"/>
      <c r="BF35" s="16"/>
      <c r="BG35" s="16"/>
      <c r="BH35" s="16">
        <f t="shared" si="13"/>
        <v>0</v>
      </c>
      <c r="BI35" s="16"/>
      <c r="BJ35" s="16">
        <f t="shared" si="33"/>
        <v>266.55903333333333</v>
      </c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7"/>
      <c r="BV35" s="17"/>
      <c r="BW35" s="17"/>
      <c r="BX35" s="17"/>
      <c r="BY35" s="17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</row>
    <row r="36" spans="1:150" s="5" customFormat="1" ht="15" customHeight="1">
      <c r="A36" s="11"/>
      <c r="B36" s="11"/>
      <c r="C36" s="43">
        <f t="shared" si="14"/>
        <v>6</v>
      </c>
      <c r="D36" s="43"/>
      <c r="E36" s="43"/>
      <c r="F36" s="169">
        <f t="shared" si="15"/>
        <v>43485</v>
      </c>
      <c r="G36" s="170"/>
      <c r="H36" s="216">
        <f>IF(V36=0,IF(V35=1,H31+H32+H33+H34+H35," "),IF(V36=0,0,IF(V37=1,H31,IF(V37=0,H14-H31*(X18-1)," "))))</f>
        <v>83.34</v>
      </c>
      <c r="I36" s="216"/>
      <c r="J36" s="151">
        <f>IF(V36=0,IF(V35=1,J31+J32+J33+J34+J35," "),IF(U1=1,X36,IF(U1=2,Y36," ")))</f>
        <v>48.821371666666664</v>
      </c>
      <c r="K36" s="151">
        <v>0</v>
      </c>
      <c r="L36" s="151">
        <f t="shared" si="16"/>
        <v>132.16137166666667</v>
      </c>
      <c r="M36" s="21"/>
      <c r="N36" s="120"/>
      <c r="O36" s="120"/>
      <c r="P36" s="120"/>
      <c r="Q36" s="135">
        <f t="shared" si="17"/>
        <v>80</v>
      </c>
      <c r="R36" s="135">
        <f t="shared" si="0"/>
        <v>50.0888888888889</v>
      </c>
      <c r="S36" s="135">
        <v>0</v>
      </c>
      <c r="T36" s="135">
        <f t="shared" si="18"/>
        <v>130.0888888888889</v>
      </c>
      <c r="U36" s="29">
        <f t="shared" si="19"/>
        <v>6</v>
      </c>
      <c r="V36" s="16">
        <f>IF(U1=1,IF(X18&gt;5,1,0),IF(U1=2,IF(X18&gt;5,1,0),0))</f>
        <v>1</v>
      </c>
      <c r="W36" s="16">
        <f t="shared" si="1"/>
        <v>20</v>
      </c>
      <c r="X36" s="58">
        <f t="shared" si="20"/>
        <v>48.821371666666664</v>
      </c>
      <c r="Y36" s="58">
        <f t="shared" si="21"/>
        <v>48.821371666666664</v>
      </c>
      <c r="Z36" s="58">
        <f t="shared" si="22"/>
        <v>3583.2999999999993</v>
      </c>
      <c r="AA36" s="58">
        <f t="shared" si="23"/>
        <v>83.34</v>
      </c>
      <c r="AB36" s="58">
        <f t="shared" si="24"/>
        <v>80</v>
      </c>
      <c r="AC36" s="58">
        <f>IF(V37=1,Z35*H15*20/36000+Z36*H15*10/36000,IF(V37=0,IF(V36=0,0,Z36*H15*AB16/36000+Z35*H15*20/36000+Z36*H15*10/36000)))</f>
        <v>48.821371666666664</v>
      </c>
      <c r="AD36" s="58">
        <f>IF(V37=1,Z35*H15*20/36000+Z36*H15*10/36000,IF(V37=0,IF(V36=0,0,Z36*H15*AB16/36000+Z35*H15*20/36000+Z36*H15*10/36000)))</f>
        <v>48.821371666666664</v>
      </c>
      <c r="AE36" s="58">
        <f t="shared" si="25"/>
        <v>53.66666666666668</v>
      </c>
      <c r="AF36" s="58">
        <f t="shared" si="26"/>
        <v>50</v>
      </c>
      <c r="AG36" s="58">
        <f t="shared" si="2"/>
        <v>3680</v>
      </c>
      <c r="AH36" s="58">
        <f>IF(V37=1,AG35*H$15*20/36000+AG36*H$15*10/36000,IF(V37=0,IF(V36=0,0,AG36*H$15*AB$16/36000+AG35*H$15*20/36000+AG36*H$15*10/36000)))</f>
        <v>50.0888888888889</v>
      </c>
      <c r="AI36" s="58">
        <f t="shared" si="27"/>
        <v>50.0888888888889</v>
      </c>
      <c r="AJ36" s="58">
        <f>IF(Z37=0,Z36*AB16,(Z35*20+Z36*10))</f>
        <v>109165.79999999999</v>
      </c>
      <c r="AK36" s="58">
        <f>IF(AG37=0,AG36*AB21,(AG35*20+AG36*10))</f>
        <v>112000</v>
      </c>
      <c r="AL36" s="58">
        <f t="shared" si="3"/>
        <v>0</v>
      </c>
      <c r="AM36" s="58">
        <f t="shared" si="4"/>
        <v>0</v>
      </c>
      <c r="AN36" s="58">
        <f t="shared" si="28"/>
        <v>0</v>
      </c>
      <c r="AO36" s="58">
        <f t="shared" si="5"/>
        <v>0</v>
      </c>
      <c r="AP36" s="58">
        <f t="shared" si="29"/>
        <v>0</v>
      </c>
      <c r="AQ36" s="58">
        <f t="shared" si="6"/>
        <v>0</v>
      </c>
      <c r="AR36" s="58">
        <f t="shared" si="7"/>
        <v>3583.2999999999993</v>
      </c>
      <c r="AS36" s="58">
        <f>IF(V37=1,AR35*K16*20/36000+AR36*K16*10/36000,IF(V37=0,IF(V36=0,0,AR36*K16*AB16/36000+AR35*K16*20/36000+AR36*K16*10/36000)))</f>
        <v>0</v>
      </c>
      <c r="AT36" s="58">
        <f>IF(V37=1,AR35*K16*20/36000+AR36*K16*10/36000,IF(V37=0,IF(V36=0,0,AR36*K16*AB16/36000+AR35*K16*20/36000+AR36*K16*10/36000)))</f>
        <v>0</v>
      </c>
      <c r="AU36" s="59">
        <f t="shared" si="30"/>
        <v>13</v>
      </c>
      <c r="AV36" s="59">
        <f t="shared" si="8"/>
        <v>1</v>
      </c>
      <c r="AW36" s="16">
        <f t="shared" si="31"/>
        <v>2018</v>
      </c>
      <c r="AX36" s="16">
        <f t="shared" si="9"/>
        <v>2019</v>
      </c>
      <c r="AY36" s="16">
        <f t="shared" si="10"/>
        <v>0</v>
      </c>
      <c r="AZ36" s="16">
        <f t="shared" si="11"/>
        <v>30</v>
      </c>
      <c r="BA36" s="16">
        <f t="shared" si="12"/>
        <v>20</v>
      </c>
      <c r="BB36" s="16">
        <f t="shared" si="32"/>
        <v>30</v>
      </c>
      <c r="BC36" s="16"/>
      <c r="BD36" s="16"/>
      <c r="BE36" s="16"/>
      <c r="BF36" s="16"/>
      <c r="BG36" s="16"/>
      <c r="BH36" s="16">
        <f t="shared" si="13"/>
        <v>0</v>
      </c>
      <c r="BI36" s="16"/>
      <c r="BJ36" s="16">
        <f t="shared" si="33"/>
        <v>264.32274333333334</v>
      </c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7"/>
      <c r="BV36" s="17"/>
      <c r="BW36" s="17"/>
      <c r="BX36" s="17"/>
      <c r="BY36" s="17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</row>
    <row r="37" spans="1:150" s="7" customFormat="1" ht="15" customHeight="1">
      <c r="A37" s="11"/>
      <c r="B37" s="11"/>
      <c r="C37" s="43">
        <f t="shared" si="14"/>
        <v>7</v>
      </c>
      <c r="D37" s="43"/>
      <c r="E37" s="43"/>
      <c r="F37" s="213">
        <f t="shared" si="15"/>
        <v>43516</v>
      </c>
      <c r="G37" s="214"/>
      <c r="H37" s="217">
        <f>IF(V37=0,IF(V36=1,H31+H32+H33+H34+H35+H36," "),IF(V37=0," ",IF(V38=1,H31,IF(V38=0,H14-H31*(X18-1)," "))))</f>
        <v>83.34</v>
      </c>
      <c r="I37" s="217"/>
      <c r="J37" s="152">
        <f>IF(V37=0,IF(V36=1,J31+J32+J33+J34+J35+J36," "),IF(U1=1,X37,IF(U1=2,Y37," ")))</f>
        <v>47.703226666666666</v>
      </c>
      <c r="K37" s="152">
        <f>IF(V37=0,IF(V36=1," "," "),IF(U1=1,0,IF(U1=2,0," ")))</f>
        <v>0</v>
      </c>
      <c r="L37" s="152">
        <f t="shared" si="16"/>
        <v>131.04322666666667</v>
      </c>
      <c r="M37" s="21"/>
      <c r="N37" s="120"/>
      <c r="O37" s="120"/>
      <c r="P37" s="120"/>
      <c r="Q37" s="135">
        <f t="shared" si="17"/>
        <v>80</v>
      </c>
      <c r="R37" s="135">
        <f t="shared" si="0"/>
        <v>49.015555555555565</v>
      </c>
      <c r="S37" s="135">
        <v>0</v>
      </c>
      <c r="T37" s="135">
        <f t="shared" si="18"/>
        <v>129.01555555555558</v>
      </c>
      <c r="U37" s="29">
        <f t="shared" si="19"/>
        <v>7</v>
      </c>
      <c r="V37" s="16">
        <f>IF(U1=1,IF(X18&gt;6,1,0),IF(U1=2,IF(X18&gt;6,1,0),0))</f>
        <v>1</v>
      </c>
      <c r="W37" s="16">
        <f t="shared" si="1"/>
        <v>20</v>
      </c>
      <c r="X37" s="58">
        <f t="shared" si="20"/>
        <v>47.703226666666666</v>
      </c>
      <c r="Y37" s="58">
        <f t="shared" si="21"/>
        <v>47.703226666666666</v>
      </c>
      <c r="Z37" s="58">
        <f t="shared" si="22"/>
        <v>3499.959999999999</v>
      </c>
      <c r="AA37" s="58">
        <f t="shared" si="23"/>
        <v>83.34</v>
      </c>
      <c r="AB37" s="58">
        <f t="shared" si="24"/>
        <v>80</v>
      </c>
      <c r="AC37" s="58">
        <f>IF(V38=1,Z36*H$15*20/36000+Z37*H$15*10/36000,IF(V38=0,IF(V37=0,0,IF(H15&gt;20,Z36*H$15*20/36000+Z37*H$15*(AB$16-20)/36000,Z37*H$15*AB$16/36000))))</f>
        <v>47.703226666666666</v>
      </c>
      <c r="AD37" s="58">
        <f>IF(V38=1,Z36*H$15*20/36000+Z37*H$15*10/36000,IF(V38=0,IF(V37=0,0,IF(H15&gt;20,Z36*H$15*20/36000+Z37*H$15*(AB$16-20)/36000,Z37*H$15*AB$16/36000))))</f>
        <v>47.703226666666666</v>
      </c>
      <c r="AE37" s="58">
        <f t="shared" si="25"/>
        <v>53.66666666666668</v>
      </c>
      <c r="AF37" s="58">
        <f t="shared" si="26"/>
        <v>50</v>
      </c>
      <c r="AG37" s="58">
        <f t="shared" si="2"/>
        <v>3600</v>
      </c>
      <c r="AH37" s="58">
        <f>IF(V38=1,AG36*H$15*20/36000+AG37*H$15*10/36000,IF(V38=0,IF(V37=0,0,IF(H$21&gt;20,AG36*H$15*20/36000+AG37*H$15*(AB$16-20)/36000,AG37*H$15*AB$16/36000))))</f>
        <v>49.015555555555565</v>
      </c>
      <c r="AI37" s="58">
        <f t="shared" si="27"/>
        <v>49.015555555555565</v>
      </c>
      <c r="AJ37" s="58">
        <f>IF(Z38=0,Z37*AB16,(Z36*20+Z37*10))</f>
        <v>106665.59999999998</v>
      </c>
      <c r="AK37" s="58">
        <f>IF(AG38=0,AG37*AB22,(AG36*20+AG37*10))</f>
        <v>109600</v>
      </c>
      <c r="AL37" s="58">
        <f t="shared" si="3"/>
        <v>0</v>
      </c>
      <c r="AM37" s="58">
        <f t="shared" si="4"/>
        <v>0</v>
      </c>
      <c r="AN37" s="58">
        <f t="shared" si="28"/>
        <v>0</v>
      </c>
      <c r="AO37" s="58">
        <f t="shared" si="5"/>
        <v>0</v>
      </c>
      <c r="AP37" s="58">
        <f t="shared" si="29"/>
        <v>0</v>
      </c>
      <c r="AQ37" s="58">
        <f t="shared" si="6"/>
        <v>0</v>
      </c>
      <c r="AR37" s="58">
        <f t="shared" si="7"/>
        <v>3499.959999999999</v>
      </c>
      <c r="AS37" s="58">
        <f>IF(V38=1,AR36*K$16*20/36000+AR37*K$16*10/36000,IF(V38=0,IF(V37=0,0,AR37*K$16*AB$16/36000)))</f>
        <v>0</v>
      </c>
      <c r="AT37" s="58">
        <f>IF(V38=1,AR36*K$16*20/36000+AR37*K$16*10/36000,IF(V38=0,IF(V37=0,0,AR37*K$16*AB$16/36000)))</f>
        <v>0</v>
      </c>
      <c r="AU37" s="59">
        <f t="shared" si="30"/>
        <v>2</v>
      </c>
      <c r="AV37" s="59">
        <f t="shared" si="8"/>
        <v>2</v>
      </c>
      <c r="AW37" s="16">
        <f t="shared" si="31"/>
        <v>2019</v>
      </c>
      <c r="AX37" s="16">
        <f t="shared" si="9"/>
        <v>2019</v>
      </c>
      <c r="AY37" s="16">
        <f t="shared" si="10"/>
        <v>0</v>
      </c>
      <c r="AZ37" s="16">
        <f t="shared" si="11"/>
        <v>28</v>
      </c>
      <c r="BA37" s="16">
        <f t="shared" si="12"/>
        <v>20</v>
      </c>
      <c r="BB37" s="16">
        <f t="shared" si="32"/>
        <v>30</v>
      </c>
      <c r="BC37" s="16"/>
      <c r="BD37" s="16"/>
      <c r="BE37" s="16"/>
      <c r="BF37" s="16"/>
      <c r="BG37" s="16"/>
      <c r="BH37" s="16">
        <f t="shared" si="13"/>
        <v>0</v>
      </c>
      <c r="BI37" s="16"/>
      <c r="BJ37" s="16">
        <f t="shared" si="33"/>
        <v>262.08645333333334</v>
      </c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7"/>
      <c r="BV37" s="17"/>
      <c r="BW37" s="17"/>
      <c r="BX37" s="17"/>
      <c r="BY37" s="17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</row>
    <row r="38" spans="1:150" s="5" customFormat="1" ht="15" customHeight="1">
      <c r="A38" s="11"/>
      <c r="B38" s="11"/>
      <c r="C38" s="43">
        <f t="shared" si="14"/>
        <v>8</v>
      </c>
      <c r="D38" s="43"/>
      <c r="E38" s="43"/>
      <c r="F38" s="213">
        <f t="shared" si="15"/>
        <v>43544</v>
      </c>
      <c r="G38" s="214"/>
      <c r="H38" s="217">
        <f>IF(V38=0,IF(V37=1,H31+H32+H33+H34+H35+H36+H37," "),IF(V38=0," ",IF(V39=1,H31,IF(V39=0,H14-H31*(X18-1)," "))))</f>
        <v>83.34</v>
      </c>
      <c r="I38" s="217"/>
      <c r="J38" s="152">
        <f>IF(V38=0,IF(V37=1,J31+J32+J33+J34+J35+J36+J37," "),IF(U1=1,X38,IF(U1=2,Y38," ")))</f>
        <v>46.58508166666666</v>
      </c>
      <c r="K38" s="152">
        <f>IF(V38=0,IF(V37=1," "," "),IF(U1=1,0,IF(U1=2,0," ")))</f>
        <v>0</v>
      </c>
      <c r="L38" s="152">
        <f t="shared" si="16"/>
        <v>129.92508166666667</v>
      </c>
      <c r="M38" s="21"/>
      <c r="N38" s="120"/>
      <c r="O38" s="120"/>
      <c r="P38" s="120"/>
      <c r="Q38" s="135">
        <f t="shared" si="17"/>
        <v>80</v>
      </c>
      <c r="R38" s="135">
        <f t="shared" si="0"/>
        <v>47.942222222222235</v>
      </c>
      <c r="S38" s="135">
        <v>0</v>
      </c>
      <c r="T38" s="135">
        <f t="shared" si="18"/>
        <v>127.94222222222223</v>
      </c>
      <c r="U38" s="29">
        <f t="shared" si="19"/>
        <v>8</v>
      </c>
      <c r="V38" s="16">
        <f>IF(U1=1,IF(X18&gt;7,1,0),IF(U1=2,IF(X18&gt;7,1,0),0))</f>
        <v>1</v>
      </c>
      <c r="W38" s="16">
        <f t="shared" si="1"/>
        <v>20</v>
      </c>
      <c r="X38" s="58">
        <f t="shared" si="20"/>
        <v>46.58508166666666</v>
      </c>
      <c r="Y38" s="58">
        <f t="shared" si="21"/>
        <v>46.58508166666666</v>
      </c>
      <c r="Z38" s="58">
        <f t="shared" si="22"/>
        <v>3416.619999999999</v>
      </c>
      <c r="AA38" s="58">
        <f t="shared" si="23"/>
        <v>83.34</v>
      </c>
      <c r="AB38" s="58">
        <f t="shared" si="24"/>
        <v>80</v>
      </c>
      <c r="AC38" s="58">
        <f>IF(V39=1,Z37*H15*20/36000+Z38*H15*10/36000,IF(V39=0,IF(V38=0,0,Z38*H15*AB16/36000+Z37*H15*20/36000+Z38*H15*10/36000)))</f>
        <v>46.58508166666666</v>
      </c>
      <c r="AD38" s="58">
        <f>IF(V39=1,Z37*H15*20/36000+Z38*H15*10/36000,IF(V39=0,IF(V38=0,0,Z38*H15*AB16/36000+Z37*H15*20/36000+Z38*H15*10/36000)))</f>
        <v>46.58508166666666</v>
      </c>
      <c r="AE38" s="58">
        <f t="shared" si="25"/>
        <v>53.66666666666668</v>
      </c>
      <c r="AF38" s="58">
        <f t="shared" si="26"/>
        <v>50</v>
      </c>
      <c r="AG38" s="58">
        <f t="shared" si="2"/>
        <v>3520</v>
      </c>
      <c r="AH38" s="58">
        <f>IF(V39=1,AG37*H$15*20/36000+AG38*H$15*10/36000,IF(V39=0,IF(V38=0,0,AG38*H$15*AB$16/36000+AG37*H$15*20/36000+AG38*H$15*10/36000)))</f>
        <v>47.942222222222235</v>
      </c>
      <c r="AI38" s="58">
        <f t="shared" si="27"/>
        <v>47.942222222222235</v>
      </c>
      <c r="AJ38" s="58">
        <f>IF(Z39=0,Z38*AB16,(Z37*20+Z38*10))</f>
        <v>104165.39999999997</v>
      </c>
      <c r="AK38" s="58">
        <f>IF(AG39=0,AG38*Y24,(AG37*20+AG38*10))</f>
        <v>107200</v>
      </c>
      <c r="AL38" s="58">
        <f t="shared" si="3"/>
        <v>0</v>
      </c>
      <c r="AM38" s="58">
        <f t="shared" si="4"/>
        <v>0</v>
      </c>
      <c r="AN38" s="58">
        <f t="shared" si="28"/>
        <v>0</v>
      </c>
      <c r="AO38" s="58">
        <f t="shared" si="5"/>
        <v>0</v>
      </c>
      <c r="AP38" s="58">
        <f t="shared" si="29"/>
        <v>0</v>
      </c>
      <c r="AQ38" s="58">
        <f t="shared" si="6"/>
        <v>0</v>
      </c>
      <c r="AR38" s="58">
        <f t="shared" si="7"/>
        <v>3416.619999999999</v>
      </c>
      <c r="AS38" s="58">
        <f>IF(V39=1,AR37*K16*20/36000+AR38*K16*10/36000,IF(V39=0,IF(V38=0,0,AR38*K16*AB16/36000+AR37*K16*20/36000+AR38*K16*10/36000)))</f>
        <v>0</v>
      </c>
      <c r="AT38" s="58">
        <f>IF(V39=1,AR37*K16*20/36000+AR38*K16*10/36000,IF(V39=0,IF(V38=0,0,AR38*K16*AB16/36000+AR37*K16*20/36000+AR38*K16*10/36000)))</f>
        <v>0</v>
      </c>
      <c r="AU38" s="59">
        <f t="shared" si="30"/>
        <v>3</v>
      </c>
      <c r="AV38" s="59">
        <f t="shared" si="8"/>
        <v>3</v>
      </c>
      <c r="AW38" s="16">
        <f t="shared" si="31"/>
        <v>2019</v>
      </c>
      <c r="AX38" s="16">
        <f t="shared" si="9"/>
        <v>2019</v>
      </c>
      <c r="AY38" s="16">
        <f t="shared" si="10"/>
        <v>0</v>
      </c>
      <c r="AZ38" s="16">
        <f t="shared" si="11"/>
        <v>30</v>
      </c>
      <c r="BA38" s="16">
        <f t="shared" si="12"/>
        <v>20</v>
      </c>
      <c r="BB38" s="16">
        <f t="shared" si="32"/>
        <v>28</v>
      </c>
      <c r="BC38" s="16"/>
      <c r="BD38" s="16"/>
      <c r="BE38" s="16"/>
      <c r="BF38" s="16"/>
      <c r="BG38" s="16"/>
      <c r="BH38" s="16">
        <f t="shared" si="13"/>
        <v>0</v>
      </c>
      <c r="BI38" s="16"/>
      <c r="BJ38" s="16">
        <f t="shared" si="33"/>
        <v>259.85016333333334</v>
      </c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7"/>
      <c r="BV38" s="17"/>
      <c r="BW38" s="17"/>
      <c r="BX38" s="17"/>
      <c r="BY38" s="17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</row>
    <row r="39" spans="1:150" s="5" customFormat="1" ht="15" customHeight="1">
      <c r="A39" s="11"/>
      <c r="B39" s="11"/>
      <c r="C39" s="43">
        <f t="shared" si="14"/>
        <v>9</v>
      </c>
      <c r="D39" s="43"/>
      <c r="E39" s="43"/>
      <c r="F39" s="169">
        <f aca="true" t="shared" si="34" ref="F39:F44">IF(V39=0,IF(V38=1,"ИТОГО"," "),IF(C$18=H$18+1,IF(U39=C$18,IF(MONTH(F38)=2,IF(DAY(H$21)&gt;29,DATE(YEAR(F38),MONTH(F38),BB39),DATE(YEAR(F38),MONTH(F38),W39)),DATE(YEAR(F38),MONTH(F38),W39)),DATE(YEAR(F38),MONTH(F38)+1,W39)),DATE(YEAR(F38),MONTH(F38)+1,W39)))</f>
        <v>43575</v>
      </c>
      <c r="G39" s="170"/>
      <c r="H39" s="216">
        <f>IF(V39=0,IF(V38=1,H31+H32+H33+H34+H35+H36+H37+H38," "),IF(V39=0," ",IF(V40=1,H31,IF(V40=0,H14-H31*(X18-1)," "))))</f>
        <v>83.34</v>
      </c>
      <c r="I39" s="216"/>
      <c r="J39" s="151">
        <f>IF(V39=0,IF(V38=1,J31+J32+J33+J34+J35+J36+J37+J38," "),IF(U1=1,X39,IF(U1=2,Y39," ")))</f>
        <v>45.466936666666655</v>
      </c>
      <c r="K39" s="151">
        <f>IF(V39=0,IF(V38=1," "," "),IF(U1=1,0,IF(U1=2,0," ")))</f>
        <v>0</v>
      </c>
      <c r="L39" s="151">
        <f t="shared" si="16"/>
        <v>128.80693666666667</v>
      </c>
      <c r="M39" s="21"/>
      <c r="N39" s="120"/>
      <c r="O39" s="120"/>
      <c r="P39" s="120"/>
      <c r="Q39" s="135">
        <f t="shared" si="17"/>
        <v>80</v>
      </c>
      <c r="R39" s="135">
        <f t="shared" si="0"/>
        <v>46.868888888888904</v>
      </c>
      <c r="S39" s="135">
        <v>0</v>
      </c>
      <c r="T39" s="135">
        <f t="shared" si="18"/>
        <v>126.8688888888889</v>
      </c>
      <c r="U39" s="29">
        <f t="shared" si="19"/>
        <v>9</v>
      </c>
      <c r="V39" s="16">
        <f>IF(U1=1,IF(X18&gt;8,1,0),IF(U1=2,IF(X18&gt;8,1,0),0))</f>
        <v>1</v>
      </c>
      <c r="W39" s="16">
        <f t="shared" si="1"/>
        <v>20</v>
      </c>
      <c r="X39" s="58">
        <f t="shared" si="20"/>
        <v>45.466936666666655</v>
      </c>
      <c r="Y39" s="58">
        <f t="shared" si="21"/>
        <v>45.466936666666655</v>
      </c>
      <c r="Z39" s="58">
        <f t="shared" si="22"/>
        <v>3333.279999999999</v>
      </c>
      <c r="AA39" s="58">
        <f t="shared" si="23"/>
        <v>83.34</v>
      </c>
      <c r="AB39" s="58">
        <f t="shared" si="24"/>
        <v>80</v>
      </c>
      <c r="AC39" s="58">
        <f>IF(V40=1,Z38*H15*20/36000+Z39*H15*10/36000,IF(V40=0,IF(V39=0,0,Z39*H15*AB16/36000+Z38*H15*20/36000+Z39*H15*10/36000)))</f>
        <v>45.466936666666655</v>
      </c>
      <c r="AD39" s="58">
        <f>IF(V40=1,Z38*H15*20/36000+Z39*H15*10/36000,IF(V40=0,IF(V39=0,0,Z39*H15*AB16/36000+Z38*H15*20/36000+Z39*H15*10/36000)))</f>
        <v>45.466936666666655</v>
      </c>
      <c r="AE39" s="58">
        <f t="shared" si="25"/>
        <v>53.66666666666668</v>
      </c>
      <c r="AF39" s="58">
        <f t="shared" si="26"/>
        <v>50</v>
      </c>
      <c r="AG39" s="58">
        <f t="shared" si="2"/>
        <v>3440</v>
      </c>
      <c r="AH39" s="58">
        <f>IF(V40=1,AG38*H$15*20/36000+AG39*H$15*10/36000,IF(V40=0,IF(V39=0,0,AG39*H$15*AB$16/36000+AG38*H$15*20/36000+AG39*H$15*10/36000)))</f>
        <v>46.868888888888904</v>
      </c>
      <c r="AI39" s="58">
        <f t="shared" si="27"/>
        <v>46.868888888888904</v>
      </c>
      <c r="AJ39" s="58">
        <f>IF(Z40=0,Z39*AB16,(Z38*20+Z39*10))</f>
        <v>101665.19999999997</v>
      </c>
      <c r="AK39" s="58">
        <f>IF(AG40=0,AG39*Y25,(AG38*20+AG39*10))</f>
        <v>104800</v>
      </c>
      <c r="AL39" s="58">
        <f t="shared" si="3"/>
        <v>0</v>
      </c>
      <c r="AM39" s="58">
        <f t="shared" si="4"/>
        <v>0</v>
      </c>
      <c r="AN39" s="58">
        <f t="shared" si="28"/>
        <v>0</v>
      </c>
      <c r="AO39" s="58">
        <f t="shared" si="5"/>
        <v>0</v>
      </c>
      <c r="AP39" s="58">
        <f t="shared" si="29"/>
        <v>0</v>
      </c>
      <c r="AQ39" s="58">
        <f t="shared" si="6"/>
        <v>0</v>
      </c>
      <c r="AR39" s="58">
        <f t="shared" si="7"/>
        <v>3333.279999999999</v>
      </c>
      <c r="AS39" s="58">
        <f>IF(V40=1,AR38*K16*20/36000+AR39*K16*10/36000,IF(V40=0,IF(V39=0,0,AR39*K16*AB16/36000+AR38*K16*20/36000+AR39*K16*10/36000)))</f>
        <v>0</v>
      </c>
      <c r="AT39" s="58">
        <f>IF(V40=1,AR38*K16*20/36000+AR39*K16*10/36000,IF(V40=0,IF(V39=0,0,AR39*K16*AB16/36000+AR38*K16*20/36000+AR39*K16*10/36000)))</f>
        <v>0</v>
      </c>
      <c r="AU39" s="59">
        <f t="shared" si="30"/>
        <v>4</v>
      </c>
      <c r="AV39" s="59">
        <f t="shared" si="8"/>
        <v>4</v>
      </c>
      <c r="AW39" s="16">
        <f t="shared" si="31"/>
        <v>2019</v>
      </c>
      <c r="AX39" s="16">
        <f t="shared" si="9"/>
        <v>2019</v>
      </c>
      <c r="AY39" s="16">
        <f t="shared" si="10"/>
        <v>0</v>
      </c>
      <c r="AZ39" s="16">
        <f t="shared" si="11"/>
        <v>30</v>
      </c>
      <c r="BA39" s="16">
        <f t="shared" si="12"/>
        <v>20</v>
      </c>
      <c r="BB39" s="16">
        <f t="shared" si="32"/>
        <v>30</v>
      </c>
      <c r="BC39" s="16"/>
      <c r="BD39" s="16"/>
      <c r="BE39" s="16"/>
      <c r="BF39" s="16"/>
      <c r="BG39" s="16"/>
      <c r="BH39" s="16">
        <f t="shared" si="13"/>
        <v>0</v>
      </c>
      <c r="BI39" s="16"/>
      <c r="BJ39" s="16">
        <f t="shared" si="33"/>
        <v>257.61387333333334</v>
      </c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7"/>
      <c r="BV39" s="17"/>
      <c r="BW39" s="17"/>
      <c r="BX39" s="17"/>
      <c r="BY39" s="17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</row>
    <row r="40" spans="1:150" s="5" customFormat="1" ht="15" customHeight="1">
      <c r="A40" s="11"/>
      <c r="B40" s="11"/>
      <c r="C40" s="43">
        <f t="shared" si="14"/>
        <v>10</v>
      </c>
      <c r="D40" s="43"/>
      <c r="E40" s="43"/>
      <c r="F40" s="213">
        <f t="shared" si="34"/>
        <v>43605</v>
      </c>
      <c r="G40" s="214"/>
      <c r="H40" s="217">
        <f>IF(V40=0,IF(V39=1,H31+H32+H33+H34+H35+H36+H37+H38+H39," "),IF(V40=0," ",IF(V41=1,H31,IF(V41=0,H14-H31*(X18-1)," "))))</f>
        <v>83.34</v>
      </c>
      <c r="I40" s="217"/>
      <c r="J40" s="152">
        <f>IF(V40=0,IF(V39=1,J31+J32+J33+J34+J35+J36+J37+J38+J39," "),IF(U1=1,X40,IF(U1=2,Y40," ")))</f>
        <v>44.348791666666656</v>
      </c>
      <c r="K40" s="152">
        <f>IF(V40=0,IF(V39=1," "," "),IF(U1=1,0,IF(U1=2,0," ")))</f>
        <v>0</v>
      </c>
      <c r="L40" s="152">
        <f t="shared" si="16"/>
        <v>127.68879166666666</v>
      </c>
      <c r="M40" s="21"/>
      <c r="N40" s="120"/>
      <c r="O40" s="120"/>
      <c r="P40" s="120"/>
      <c r="Q40" s="135">
        <f t="shared" si="17"/>
        <v>80</v>
      </c>
      <c r="R40" s="135">
        <f t="shared" si="0"/>
        <v>45.795555555555566</v>
      </c>
      <c r="S40" s="135">
        <v>0</v>
      </c>
      <c r="T40" s="135">
        <f t="shared" si="18"/>
        <v>125.79555555555557</v>
      </c>
      <c r="U40" s="29">
        <f t="shared" si="19"/>
        <v>10</v>
      </c>
      <c r="V40" s="16">
        <f>IF(U1=1,IF(X18&gt;9,1,0),IF(U1=2,IF(X18&gt;9,1,0),0))</f>
        <v>1</v>
      </c>
      <c r="W40" s="16">
        <f t="shared" si="1"/>
        <v>20</v>
      </c>
      <c r="X40" s="58">
        <f t="shared" si="20"/>
        <v>44.348791666666656</v>
      </c>
      <c r="Y40" s="58">
        <f t="shared" si="21"/>
        <v>44.348791666666656</v>
      </c>
      <c r="Z40" s="58">
        <f t="shared" si="22"/>
        <v>3249.9399999999987</v>
      </c>
      <c r="AA40" s="58">
        <f t="shared" si="23"/>
        <v>83.34</v>
      </c>
      <c r="AB40" s="58">
        <f t="shared" si="24"/>
        <v>80</v>
      </c>
      <c r="AC40" s="58">
        <f>IF(V41=1,Z39*H15*20/36000+Z40*H15*10/36000,IF(V41=0,IF(V40=0,0,Z40*H15*AB16/36000+29*H15*20/36000+Z40*H15*10/36000)))</f>
        <v>44.348791666666656</v>
      </c>
      <c r="AD40" s="58">
        <f>IF(V41=1,Z39*H15*20/36000+Z40*H15*10/36000,IF(V41=0,IF(V40=0,0,Z40*H15*AB16/36000+29*H15*20/36000+Z40*H15*10/36000)))</f>
        <v>44.348791666666656</v>
      </c>
      <c r="AE40" s="58">
        <f t="shared" si="25"/>
        <v>53.66666666666668</v>
      </c>
      <c r="AF40" s="58">
        <f t="shared" si="26"/>
        <v>50</v>
      </c>
      <c r="AG40" s="58">
        <f t="shared" si="2"/>
        <v>3360</v>
      </c>
      <c r="AH40" s="58">
        <f>IF(V41=1,AG39*H$15*20/36000+AG40*H$15*10/36000,IF(V41=0,IF(V40=0,0,AG40*H$15*AB$16/36000+AG39*H$15*20/36000+AG40*H$15*10/36000)))</f>
        <v>45.795555555555566</v>
      </c>
      <c r="AI40" s="58">
        <f t="shared" si="27"/>
        <v>45.795555555555566</v>
      </c>
      <c r="AJ40" s="58">
        <f>IF(Z41=0,Z40*AB16,(Z39*20+Z40*10))</f>
        <v>99164.99999999997</v>
      </c>
      <c r="AK40" s="58">
        <f>IF(AG41=0,AG40*Y26,(AG39*20+AG40*10))</f>
        <v>102400</v>
      </c>
      <c r="AL40" s="58">
        <f t="shared" si="3"/>
        <v>0</v>
      </c>
      <c r="AM40" s="58">
        <f t="shared" si="4"/>
        <v>0</v>
      </c>
      <c r="AN40" s="58">
        <f t="shared" si="28"/>
        <v>0</v>
      </c>
      <c r="AO40" s="58">
        <f t="shared" si="5"/>
        <v>0</v>
      </c>
      <c r="AP40" s="58">
        <f t="shared" si="29"/>
        <v>0</v>
      </c>
      <c r="AQ40" s="58">
        <f t="shared" si="6"/>
        <v>0</v>
      </c>
      <c r="AR40" s="58">
        <f t="shared" si="7"/>
        <v>3249.9399999999987</v>
      </c>
      <c r="AS40" s="58">
        <f>IF(V41=1,AR39*K16*20/36000+AR40*K16*10/36000,IF(V41=0,IF(V40=0,0,AR40*K16*AB16/36000+29*K16*20/36000+AR40*K16*10/36000)))</f>
        <v>0</v>
      </c>
      <c r="AT40" s="58">
        <f>IF(V41=1,AR39*K16*20/36000+AR40*K16*10/36000,IF(V41=0,IF(V40=0,0,AR40*K16*AB16/36000+29*K16*20/36000+AR40*K16*10/36000)))</f>
        <v>0</v>
      </c>
      <c r="AU40" s="59">
        <f t="shared" si="30"/>
        <v>5</v>
      </c>
      <c r="AV40" s="59">
        <f t="shared" si="8"/>
        <v>5</v>
      </c>
      <c r="AW40" s="16">
        <f t="shared" si="31"/>
        <v>2019</v>
      </c>
      <c r="AX40" s="16">
        <f t="shared" si="9"/>
        <v>2019</v>
      </c>
      <c r="AY40" s="16">
        <f t="shared" si="10"/>
        <v>0</v>
      </c>
      <c r="AZ40" s="16">
        <f t="shared" si="11"/>
        <v>30</v>
      </c>
      <c r="BA40" s="16">
        <f t="shared" si="12"/>
        <v>20</v>
      </c>
      <c r="BB40" s="16">
        <f t="shared" si="32"/>
        <v>30</v>
      </c>
      <c r="BC40" s="16"/>
      <c r="BD40" s="16"/>
      <c r="BE40" s="16"/>
      <c r="BF40" s="16"/>
      <c r="BG40" s="16"/>
      <c r="BH40" s="16">
        <f t="shared" si="13"/>
        <v>0</v>
      </c>
      <c r="BI40" s="16"/>
      <c r="BJ40" s="16">
        <f t="shared" si="33"/>
        <v>255.37758333333332</v>
      </c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7"/>
      <c r="BV40" s="17"/>
      <c r="BW40" s="17"/>
      <c r="BX40" s="17"/>
      <c r="BY40" s="17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</row>
    <row r="41" spans="1:150" s="5" customFormat="1" ht="15" customHeight="1">
      <c r="A41" s="11"/>
      <c r="B41" s="11"/>
      <c r="C41" s="43">
        <f t="shared" si="14"/>
        <v>11</v>
      </c>
      <c r="D41" s="43"/>
      <c r="E41" s="43"/>
      <c r="F41" s="213">
        <f t="shared" si="34"/>
        <v>43636</v>
      </c>
      <c r="G41" s="214"/>
      <c r="H41" s="217">
        <f>IF(V41=0,IF(V40=1,H31+H32+H33+H34+H35+H36+H37+H38+H39+H40," "),IF(V41=0," ",IF(V42=1,H31,IF(V42=0,H14-H31*(X18-1)," "))))</f>
        <v>83.34</v>
      </c>
      <c r="I41" s="217"/>
      <c r="J41" s="152">
        <f>IF(V41=0,IF(V40=1,J31+J32+J33+J34+J35+J36+J37+J38+J39+J40," "),IF(U1=1,X41,IF(U1=2,Y41," ")))</f>
        <v>43.23064666666666</v>
      </c>
      <c r="K41" s="152">
        <f>IF(V41=0,IF(V40=1," "," "),IF(U1=1,0,IF(U1=2,0," ")))</f>
        <v>0</v>
      </c>
      <c r="L41" s="152">
        <f t="shared" si="16"/>
        <v>126.57064666666666</v>
      </c>
      <c r="M41" s="21"/>
      <c r="N41" s="120"/>
      <c r="O41" s="120"/>
      <c r="P41" s="120"/>
      <c r="Q41" s="135">
        <f t="shared" si="17"/>
        <v>80</v>
      </c>
      <c r="R41" s="135">
        <f t="shared" si="0"/>
        <v>44.72222222222223</v>
      </c>
      <c r="S41" s="135">
        <v>0</v>
      </c>
      <c r="T41" s="135">
        <f t="shared" si="18"/>
        <v>124.72222222222223</v>
      </c>
      <c r="U41" s="29">
        <f t="shared" si="19"/>
        <v>11</v>
      </c>
      <c r="V41" s="16">
        <f>IF(U1=1,IF(X18&gt;10,1,0),IF(U1=2,IF(X18&gt;10,1,0),0))</f>
        <v>1</v>
      </c>
      <c r="W41" s="16">
        <f t="shared" si="1"/>
        <v>20</v>
      </c>
      <c r="X41" s="58">
        <f t="shared" si="20"/>
        <v>43.23064666666666</v>
      </c>
      <c r="Y41" s="58">
        <f t="shared" si="21"/>
        <v>43.23064666666666</v>
      </c>
      <c r="Z41" s="58">
        <f t="shared" si="22"/>
        <v>3166.5999999999985</v>
      </c>
      <c r="AA41" s="58">
        <f t="shared" si="23"/>
        <v>83.34</v>
      </c>
      <c r="AB41" s="58">
        <f t="shared" si="24"/>
        <v>80</v>
      </c>
      <c r="AC41" s="58">
        <f>IF(V42=1,Z40*H15*20/36000+Z41*H15*10/36000,IF(V42=0,IF(V41=0,0,Z41*H15*AB16/36000+Z40*H15*20/36000+Z41*H15*10/36000)))</f>
        <v>43.23064666666666</v>
      </c>
      <c r="AD41" s="58">
        <f>IF(V42=1,Z40*H15*20/36000+Z41*H15*10/36000,IF(V42=0,IF(V41=0,0,Z41*H15*AB16/36000+Z40*H15*20/36000+Z41*H15*10/36000)))</f>
        <v>43.23064666666666</v>
      </c>
      <c r="AE41" s="58">
        <f t="shared" si="25"/>
        <v>53.66666666666668</v>
      </c>
      <c r="AF41" s="58">
        <f t="shared" si="26"/>
        <v>50</v>
      </c>
      <c r="AG41" s="58">
        <f t="shared" si="2"/>
        <v>3280</v>
      </c>
      <c r="AH41" s="58">
        <f>IF(V42=1,AG40*H$15*20/36000+AG41*H$15*10/36000,IF(V42=0,IF(V41=0,0,AG41*H$15*AB$16/36000+AG40*H$15*20/36000+AG41*H$15*10/36000)))</f>
        <v>44.72222222222223</v>
      </c>
      <c r="AI41" s="58">
        <f t="shared" si="27"/>
        <v>44.72222222222223</v>
      </c>
      <c r="AJ41" s="58">
        <f>IF(Z42=0,Z41*AB16,(Z40*20+Z41*10))</f>
        <v>96664.79999999996</v>
      </c>
      <c r="AK41" s="58"/>
      <c r="AL41" s="58">
        <f t="shared" si="3"/>
        <v>0</v>
      </c>
      <c r="AM41" s="58">
        <f t="shared" si="4"/>
        <v>0</v>
      </c>
      <c r="AN41" s="58">
        <f t="shared" si="28"/>
        <v>0</v>
      </c>
      <c r="AO41" s="58">
        <f t="shared" si="5"/>
        <v>0</v>
      </c>
      <c r="AP41" s="58">
        <f t="shared" si="29"/>
        <v>0</v>
      </c>
      <c r="AQ41" s="58">
        <f t="shared" si="6"/>
        <v>0</v>
      </c>
      <c r="AR41" s="58">
        <f t="shared" si="7"/>
        <v>3166.5999999999985</v>
      </c>
      <c r="AS41" s="58">
        <f>IF(V42=1,AR40*K16*20/36000+AR41*K16*10/36000,IF(V42=0,IF(V41=0,0,AR41*K16*AB16/36000+AR40*K16*20/36000+AR41*K16*10/36000)))</f>
        <v>0</v>
      </c>
      <c r="AT41" s="58">
        <f>IF(V42=1,AR40*K16*20/36000+AR41*K16*10/36000,IF(V42=0,IF(V41=0,0,AR41*K16*AB16/36000+AR40*K16*20/36000+AR41*K16*10/36000)))</f>
        <v>0</v>
      </c>
      <c r="AU41" s="59">
        <f t="shared" si="30"/>
        <v>6</v>
      </c>
      <c r="AV41" s="59">
        <f t="shared" si="8"/>
        <v>6</v>
      </c>
      <c r="AW41" s="16">
        <f t="shared" si="31"/>
        <v>2019</v>
      </c>
      <c r="AX41" s="16">
        <f t="shared" si="9"/>
        <v>2019</v>
      </c>
      <c r="AY41" s="16">
        <f t="shared" si="10"/>
        <v>0</v>
      </c>
      <c r="AZ41" s="16">
        <f t="shared" si="11"/>
        <v>30</v>
      </c>
      <c r="BA41" s="16">
        <f t="shared" si="12"/>
        <v>20</v>
      </c>
      <c r="BB41" s="16">
        <f t="shared" si="32"/>
        <v>30</v>
      </c>
      <c r="BC41" s="16"/>
      <c r="BD41" s="16"/>
      <c r="BE41" s="16"/>
      <c r="BF41" s="16"/>
      <c r="BG41" s="16"/>
      <c r="BH41" s="16">
        <f t="shared" si="13"/>
        <v>0</v>
      </c>
      <c r="BI41" s="16"/>
      <c r="BJ41" s="16">
        <f t="shared" si="33"/>
        <v>253.14129333333332</v>
      </c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7"/>
      <c r="BV41" s="17"/>
      <c r="BW41" s="17"/>
      <c r="BX41" s="17"/>
      <c r="BY41" s="17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</row>
    <row r="42" spans="1:150" s="5" customFormat="1" ht="15" customHeight="1">
      <c r="A42" s="11"/>
      <c r="B42" s="11"/>
      <c r="C42" s="43">
        <f t="shared" si="14"/>
        <v>12</v>
      </c>
      <c r="D42" s="43"/>
      <c r="E42" s="43"/>
      <c r="F42" s="218">
        <f t="shared" si="34"/>
        <v>43666</v>
      </c>
      <c r="G42" s="219"/>
      <c r="H42" s="220">
        <f>IF(V42=0,IF(V41=1,H31+H32+H33+H34+H35+H36+H37+H38+H39+H40+H41," "),IF(V42=0," ",IF(V43=1,H31,IF(V43=0,H14-H31*(X18-1)," "))))</f>
        <v>83.34</v>
      </c>
      <c r="I42" s="220"/>
      <c r="J42" s="153">
        <f>IF(V42=0,IF(V41=1,J31+J32+J33+J34+J35+J36+J37+J38+J39+J40+J41," "),IF(U1=1,X42,IF(U1=2,Y42," ")))</f>
        <v>42.11250166666665</v>
      </c>
      <c r="K42" s="153">
        <f>IF(V42=0,IF(V41=1," "," "),IF(U1=1,0,IF(U1=2,0," ")))</f>
        <v>0</v>
      </c>
      <c r="L42" s="153">
        <f t="shared" si="16"/>
        <v>125.45250166666665</v>
      </c>
      <c r="M42" s="21"/>
      <c r="N42" s="120"/>
      <c r="O42" s="120"/>
      <c r="P42" s="120"/>
      <c r="Q42" s="135">
        <f t="shared" si="17"/>
        <v>80</v>
      </c>
      <c r="R42" s="135">
        <f t="shared" si="0"/>
        <v>43.6488888888889</v>
      </c>
      <c r="S42" s="135">
        <v>0</v>
      </c>
      <c r="T42" s="135">
        <f t="shared" si="18"/>
        <v>123.6488888888889</v>
      </c>
      <c r="U42" s="29">
        <f t="shared" si="19"/>
        <v>12</v>
      </c>
      <c r="V42" s="16">
        <f>IF(U1=1,IF(X18&gt;11,1,0),IF(U1=2,IF(X18&gt;11,1,0),0))</f>
        <v>1</v>
      </c>
      <c r="W42" s="16">
        <f t="shared" si="1"/>
        <v>20</v>
      </c>
      <c r="X42" s="58">
        <f t="shared" si="20"/>
        <v>42.11250166666665</v>
      </c>
      <c r="Y42" s="58">
        <f t="shared" si="21"/>
        <v>42.11250166666665</v>
      </c>
      <c r="Z42" s="58">
        <f t="shared" si="22"/>
        <v>3083.2599999999984</v>
      </c>
      <c r="AA42" s="58">
        <f t="shared" si="23"/>
        <v>83.34</v>
      </c>
      <c r="AB42" s="58">
        <f t="shared" si="24"/>
        <v>80</v>
      </c>
      <c r="AC42" s="58">
        <f>IF(V43=1,Z41*H15*20/36000+Z42*H15*10/36000,IF(V43=0,IF(V42=0,0,Z42*H15*AB16/36000+Z41*H15*20/36000+Z42*H15*10/36000)))</f>
        <v>42.11250166666665</v>
      </c>
      <c r="AD42" s="58">
        <f>IF(V43=1,Z41*H15*20/36000+Z42*H15*10/36000,IF(V43=0,IF(V42=0,0,Z42*H15*AB16/36000+Z41*H15*20/36000+Z42*H15*10/36000)))</f>
        <v>42.11250166666665</v>
      </c>
      <c r="AE42" s="58">
        <f t="shared" si="25"/>
        <v>53.66666666666668</v>
      </c>
      <c r="AF42" s="58">
        <f t="shared" si="26"/>
        <v>50</v>
      </c>
      <c r="AG42" s="58">
        <f t="shared" si="2"/>
        <v>3200</v>
      </c>
      <c r="AH42" s="58">
        <f>IF(V43=1,AG41*H$15*20/36000+AG42*H$15*10/36000,IF(V43=0,IF(V42=0,0,AG42*H$15*AB$16/36000+AG41*H$15*20/36000+AG42*H$15*10/36000)))</f>
        <v>43.6488888888889</v>
      </c>
      <c r="AI42" s="58">
        <f t="shared" si="27"/>
        <v>43.6488888888889</v>
      </c>
      <c r="AJ42" s="58">
        <f>IF(Z43=0,Z42*AB16,(Z41*20+Z42*10))</f>
        <v>94164.59999999995</v>
      </c>
      <c r="AK42" s="58"/>
      <c r="AL42" s="58">
        <f t="shared" si="3"/>
        <v>0</v>
      </c>
      <c r="AM42" s="58">
        <f t="shared" si="4"/>
        <v>0</v>
      </c>
      <c r="AN42" s="58">
        <f t="shared" si="28"/>
        <v>0</v>
      </c>
      <c r="AO42" s="58">
        <f t="shared" si="5"/>
        <v>0</v>
      </c>
      <c r="AP42" s="58">
        <f t="shared" si="29"/>
        <v>0</v>
      </c>
      <c r="AQ42" s="58">
        <f t="shared" si="6"/>
        <v>0</v>
      </c>
      <c r="AR42" s="58">
        <f t="shared" si="7"/>
        <v>3083.2599999999984</v>
      </c>
      <c r="AS42" s="58">
        <f>IF(V43=1,AR41*K16*20/36000+AR42*K16*10/36000,IF(V43=0,IF(V42=0,0,AR42*K16*AB16/36000+AR41*K16*20/36000+AR42*K16*10/36000)))</f>
        <v>0</v>
      </c>
      <c r="AT42" s="58">
        <f>IF(V43=1,AR41*K16*20/36000+AR42*K16*10/36000,IF(V43=0,IF(V42=0,0,AR42*K16*AB16/36000+AR41*K16*20/36000+AR42*K16*10/36000)))</f>
        <v>0</v>
      </c>
      <c r="AU42" s="59">
        <f t="shared" si="30"/>
        <v>7</v>
      </c>
      <c r="AV42" s="59">
        <f t="shared" si="8"/>
        <v>7</v>
      </c>
      <c r="AW42" s="16">
        <f t="shared" si="31"/>
        <v>2019</v>
      </c>
      <c r="AX42" s="16">
        <f t="shared" si="9"/>
        <v>2019</v>
      </c>
      <c r="AY42" s="16">
        <f t="shared" si="10"/>
        <v>0</v>
      </c>
      <c r="AZ42" s="16">
        <f t="shared" si="11"/>
        <v>30</v>
      </c>
      <c r="BA42" s="16">
        <f t="shared" si="12"/>
        <v>20</v>
      </c>
      <c r="BB42" s="16">
        <f t="shared" si="32"/>
        <v>30</v>
      </c>
      <c r="BC42" s="16"/>
      <c r="BD42" s="16"/>
      <c r="BE42" s="16"/>
      <c r="BF42" s="16"/>
      <c r="BG42" s="16"/>
      <c r="BH42" s="16">
        <f t="shared" si="13"/>
        <v>0</v>
      </c>
      <c r="BI42" s="16"/>
      <c r="BJ42" s="16">
        <f t="shared" si="33"/>
        <v>250.9050033333333</v>
      </c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7"/>
      <c r="BV42" s="17"/>
      <c r="BW42" s="17"/>
      <c r="BX42" s="17"/>
      <c r="BY42" s="17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</row>
    <row r="43" spans="1:150" s="7" customFormat="1" ht="15" customHeight="1">
      <c r="A43" s="11"/>
      <c r="B43" s="11"/>
      <c r="C43" s="43">
        <f t="shared" si="14"/>
        <v>13</v>
      </c>
      <c r="D43" s="43"/>
      <c r="E43" s="43"/>
      <c r="F43" s="213">
        <f t="shared" si="34"/>
        <v>43697</v>
      </c>
      <c r="G43" s="214"/>
      <c r="H43" s="217">
        <f>IF(V43=0,IF(V42=1,H31+H32+H33+H34+H35+H36+H37+H38+H39+H40+H41+H42," "),IF(V43=0," ",IF(V44=1,H31,IF(V44=0,H14-H31*(X18-1)," "))))</f>
        <v>83.34</v>
      </c>
      <c r="I43" s="217"/>
      <c r="J43" s="152">
        <f>IF(V43=0,IF(V42=1,J31+J32+J33+J34+J35+J36+J37+J38+J39+J40+J41+J42," "),IF(U1=1,X43,IF(U1=2,Y43," ")))</f>
        <v>40.99435666666665</v>
      </c>
      <c r="K43" s="152">
        <f>IF(V43=0,IF(V42=1," "," "),IF(U1=1,0,IF(U1=2,0," ")))</f>
        <v>0</v>
      </c>
      <c r="L43" s="152">
        <f t="shared" si="16"/>
        <v>124.33435666666665</v>
      </c>
      <c r="M43" s="21"/>
      <c r="N43" s="120"/>
      <c r="O43" s="120"/>
      <c r="P43" s="120"/>
      <c r="Q43" s="135">
        <f t="shared" si="17"/>
        <v>80</v>
      </c>
      <c r="R43" s="135">
        <f t="shared" si="0"/>
        <v>42.57555555555556</v>
      </c>
      <c r="S43" s="135">
        <v>0</v>
      </c>
      <c r="T43" s="135">
        <f t="shared" si="18"/>
        <v>122.57555555555555</v>
      </c>
      <c r="U43" s="29">
        <f t="shared" si="19"/>
        <v>13</v>
      </c>
      <c r="V43" s="16">
        <f>IF(U1=1,IF(X18&gt;12,1,0),IF(U1=2,IF(X18&gt;12,1,0),0))</f>
        <v>1</v>
      </c>
      <c r="W43" s="16">
        <f t="shared" si="1"/>
        <v>20</v>
      </c>
      <c r="X43" s="58">
        <f t="shared" si="20"/>
        <v>40.99435666666665</v>
      </c>
      <c r="Y43" s="58">
        <f t="shared" si="21"/>
        <v>40.99435666666665</v>
      </c>
      <c r="Z43" s="58">
        <f t="shared" si="22"/>
        <v>2999.9199999999983</v>
      </c>
      <c r="AA43" s="58">
        <f t="shared" si="23"/>
        <v>83.34</v>
      </c>
      <c r="AB43" s="58">
        <f t="shared" si="24"/>
        <v>80</v>
      </c>
      <c r="AC43" s="58">
        <f>IF(V44=1,Z42*H$15*20/36000+Z43*H$15*10/36000,IF(V44=0,IF(V43=0,0,IF(H21&gt;20,Z42*H$15*20/36000+Z43*H$15*(AB$16-20)/36000,Z43*H$15*AB$16/36000))))</f>
        <v>40.99435666666665</v>
      </c>
      <c r="AD43" s="58">
        <f>IF(V44=1,Z42*H$15*20/36000+Z43*H$15*10/36000,IF(V44=0,IF(V43=0,0,IF(H21&gt;20,Z42*H$15*20/36000+Z43*H$15*(AB$16-20)/36000,Z43*H$15*AB$16/36000))))</f>
        <v>40.99435666666665</v>
      </c>
      <c r="AE43" s="58">
        <f t="shared" si="25"/>
        <v>53.66666666666668</v>
      </c>
      <c r="AF43" s="58">
        <f t="shared" si="26"/>
        <v>50</v>
      </c>
      <c r="AG43" s="58">
        <f t="shared" si="2"/>
        <v>3120</v>
      </c>
      <c r="AH43" s="58">
        <f>IF(V44=1,AG42*H$15*20/36000+AG43*H$15*10/36000,IF(V44=0,IF(V43=0,0,IF(H$21&gt;20,AG42*H$15*20/36000+AG43*H$15*(AB$16-20)/36000,AG43*H$15*AB$16/36000))))</f>
        <v>42.57555555555556</v>
      </c>
      <c r="AI43" s="58">
        <f t="shared" si="27"/>
        <v>42.57555555555556</v>
      </c>
      <c r="AJ43" s="58">
        <f>IF(Z44=0,Z43*AB16,(Z42*20+Z43*10))</f>
        <v>91664.39999999995</v>
      </c>
      <c r="AK43" s="58"/>
      <c r="AL43" s="58">
        <f t="shared" si="3"/>
        <v>0</v>
      </c>
      <c r="AM43" s="58">
        <f t="shared" si="4"/>
        <v>0</v>
      </c>
      <c r="AN43" s="58">
        <f t="shared" si="28"/>
        <v>0</v>
      </c>
      <c r="AO43" s="58">
        <f t="shared" si="5"/>
        <v>0</v>
      </c>
      <c r="AP43" s="58">
        <f t="shared" si="29"/>
        <v>0</v>
      </c>
      <c r="AQ43" s="58">
        <f t="shared" si="6"/>
        <v>0</v>
      </c>
      <c r="AR43" s="58">
        <f t="shared" si="7"/>
        <v>2999.9199999999983</v>
      </c>
      <c r="AS43" s="58">
        <f>IF(V44=1,AR42*K16*20/36000+AR43*K16*10/36000,IF(V44=0,IF(V43=0,0,AR43*K16*AB16/36000)))</f>
        <v>0</v>
      </c>
      <c r="AT43" s="58">
        <f>IF(V44=1,AR42*K16*20/36000+AR43*K16*10/36000,IF(V44=0,IF(V43=0,0,AR43*K16*AB16/36000)))</f>
        <v>0</v>
      </c>
      <c r="AU43" s="59">
        <f t="shared" si="30"/>
        <v>8</v>
      </c>
      <c r="AV43" s="59">
        <f t="shared" si="8"/>
        <v>8</v>
      </c>
      <c r="AW43" s="16">
        <f t="shared" si="31"/>
        <v>2019</v>
      </c>
      <c r="AX43" s="16">
        <f t="shared" si="9"/>
        <v>2019</v>
      </c>
      <c r="AY43" s="16">
        <f t="shared" si="10"/>
        <v>0</v>
      </c>
      <c r="AZ43" s="16">
        <f t="shared" si="11"/>
        <v>30</v>
      </c>
      <c r="BA43" s="16">
        <f t="shared" si="12"/>
        <v>20</v>
      </c>
      <c r="BB43" s="16">
        <f t="shared" si="32"/>
        <v>30</v>
      </c>
      <c r="BC43" s="16"/>
      <c r="BD43" s="16"/>
      <c r="BE43" s="16"/>
      <c r="BF43" s="16"/>
      <c r="BG43" s="16"/>
      <c r="BH43" s="16">
        <f t="shared" si="13"/>
        <v>0</v>
      </c>
      <c r="BI43" s="16"/>
      <c r="BJ43" s="16">
        <f t="shared" si="33"/>
        <v>248.6687133333333</v>
      </c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7"/>
      <c r="BV43" s="17"/>
      <c r="BW43" s="17"/>
      <c r="BX43" s="17"/>
      <c r="BY43" s="17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</row>
    <row r="44" spans="1:150" s="5" customFormat="1" ht="15" customHeight="1">
      <c r="A44" s="11"/>
      <c r="B44" s="11"/>
      <c r="C44" s="43">
        <f t="shared" si="14"/>
        <v>14</v>
      </c>
      <c r="D44" s="43"/>
      <c r="E44" s="43"/>
      <c r="F44" s="213">
        <f t="shared" si="34"/>
        <v>43728</v>
      </c>
      <c r="G44" s="214"/>
      <c r="H44" s="217">
        <f>IF(V44=0,IF(V43=1,H31+H32+H33+H34+H35+H36+H37+H38+H39+H40+H41+H42+H43," "),IF(V44=0," ",IF(V45=1,H31,IF(V45=0,H14-H31*(X18-1)," "))))</f>
        <v>83.34</v>
      </c>
      <c r="I44" s="217"/>
      <c r="J44" s="152">
        <f>IF(V44=0,IF(V43=1,J31+J32+J33+J34+J35+J36+J37+J38+J39+J40+J41+J42+J43," "),IF(U1=1,X44,IF(U1=2,Y44," ")))</f>
        <v>39.87621166666664</v>
      </c>
      <c r="K44" s="152">
        <f>IF(V44=0,IF(V43=1," "," "),IF(U1=1,0,IF(U1=2,0," ")))</f>
        <v>0</v>
      </c>
      <c r="L44" s="152">
        <f t="shared" si="16"/>
        <v>123.21621166666665</v>
      </c>
      <c r="M44" s="21"/>
      <c r="N44" s="120"/>
      <c r="O44" s="120"/>
      <c r="P44" s="120"/>
      <c r="Q44" s="135">
        <f t="shared" si="17"/>
        <v>80</v>
      </c>
      <c r="R44" s="135">
        <f t="shared" si="0"/>
        <v>41.50222222222223</v>
      </c>
      <c r="S44" s="135">
        <v>0</v>
      </c>
      <c r="T44" s="135">
        <f t="shared" si="18"/>
        <v>121.50222222222223</v>
      </c>
      <c r="U44" s="29">
        <f t="shared" si="19"/>
        <v>14</v>
      </c>
      <c r="V44" s="16">
        <f>IF(U1=1,IF(X18&gt;13,1,0),IF(U1=2,IF(X18&gt;13,1,0),0))</f>
        <v>1</v>
      </c>
      <c r="W44" s="16">
        <f t="shared" si="1"/>
        <v>20</v>
      </c>
      <c r="X44" s="58">
        <f t="shared" si="20"/>
        <v>39.87621166666664</v>
      </c>
      <c r="Y44" s="58">
        <f t="shared" si="21"/>
        <v>39.87621166666664</v>
      </c>
      <c r="Z44" s="58">
        <f t="shared" si="22"/>
        <v>2916.579999999998</v>
      </c>
      <c r="AA44" s="58">
        <f t="shared" si="23"/>
        <v>83.34</v>
      </c>
      <c r="AB44" s="58">
        <f t="shared" si="24"/>
        <v>80</v>
      </c>
      <c r="AC44" s="58">
        <f>IF(V45=1,Z43*H15*20/36000+Z44*H15*10/36000,IF(V45=0,IF(V44=0,0,Z44*H15*AB16/36000+Z43*H15*20/36000+Z44*H15*10/36000)))</f>
        <v>39.87621166666664</v>
      </c>
      <c r="AD44" s="58">
        <f>IF(V45=1,Z43*H15*20/36000+Z44*H15*10/36000,IF(V45=0,IF(V44=0,0,Z44*H15*AB16/36000+Z43*H15*20/36000+Z44*H15*10/36000)))</f>
        <v>39.87621166666664</v>
      </c>
      <c r="AE44" s="58">
        <f t="shared" si="25"/>
        <v>53.66666666666668</v>
      </c>
      <c r="AF44" s="58">
        <f t="shared" si="26"/>
        <v>50</v>
      </c>
      <c r="AG44" s="58">
        <f t="shared" si="2"/>
        <v>3040</v>
      </c>
      <c r="AH44" s="58">
        <f>IF(V45=1,AG43*H$15*20/36000+AG44*H$15*10/36000,IF(V45=0,IF(V44=0,0,AG44*H$15*AB$16/36000+AG43*H$15*20/36000+AG44*H$15*10/36000)))</f>
        <v>41.50222222222223</v>
      </c>
      <c r="AI44" s="58">
        <f t="shared" si="27"/>
        <v>41.50222222222223</v>
      </c>
      <c r="AJ44" s="58">
        <f>IF(Z45=0,Z44*AB16,(Z43*20+Z44*10))</f>
        <v>89164.19999999995</v>
      </c>
      <c r="AK44" s="58"/>
      <c r="AL44" s="58">
        <f t="shared" si="3"/>
        <v>0</v>
      </c>
      <c r="AM44" s="58">
        <f t="shared" si="4"/>
        <v>0</v>
      </c>
      <c r="AN44" s="58">
        <f t="shared" si="28"/>
        <v>0</v>
      </c>
      <c r="AO44" s="58">
        <f t="shared" si="5"/>
        <v>0</v>
      </c>
      <c r="AP44" s="58">
        <f t="shared" si="29"/>
        <v>0</v>
      </c>
      <c r="AQ44" s="58">
        <f t="shared" si="6"/>
        <v>0</v>
      </c>
      <c r="AR44" s="58">
        <f t="shared" si="7"/>
        <v>2916.579999999998</v>
      </c>
      <c r="AS44" s="58">
        <f>IF(V45=1,AR43*K16*20/36000+AR44*K16*10/36000,IF(V45=0,IF(V44=0,0,AR44*K16*AB16/36000+AR43*K16*20/36000+AR44*K16*10/36000)))</f>
        <v>0</v>
      </c>
      <c r="AT44" s="58">
        <f>IF(V45=1,AR43*K16*20/36000+AR44*K16*10/36000,IF(V45=0,IF(V44=0,0,AR44*K16*AB16/36000+AR43*K16*20/36000+AR44*K16*10/36000)))</f>
        <v>0</v>
      </c>
      <c r="AU44" s="59">
        <f t="shared" si="30"/>
        <v>9</v>
      </c>
      <c r="AV44" s="59">
        <f t="shared" si="8"/>
        <v>9</v>
      </c>
      <c r="AW44" s="16">
        <f t="shared" si="31"/>
        <v>2019</v>
      </c>
      <c r="AX44" s="16">
        <f t="shared" si="9"/>
        <v>2019</v>
      </c>
      <c r="AY44" s="16">
        <f t="shared" si="10"/>
        <v>0</v>
      </c>
      <c r="AZ44" s="16">
        <f t="shared" si="11"/>
        <v>30</v>
      </c>
      <c r="BA44" s="16">
        <f t="shared" si="12"/>
        <v>20</v>
      </c>
      <c r="BB44" s="16">
        <f t="shared" si="32"/>
        <v>30</v>
      </c>
      <c r="BC44" s="16"/>
      <c r="BD44" s="16"/>
      <c r="BE44" s="16"/>
      <c r="BF44" s="16"/>
      <c r="BG44" s="16"/>
      <c r="BH44" s="16">
        <f t="shared" si="13"/>
        <v>0</v>
      </c>
      <c r="BI44" s="16"/>
      <c r="BJ44" s="16">
        <f t="shared" si="33"/>
        <v>246.4324233333333</v>
      </c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7"/>
      <c r="BV44" s="17"/>
      <c r="BW44" s="17"/>
      <c r="BX44" s="17"/>
      <c r="BY44" s="17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</row>
    <row r="45" spans="1:150" s="5" customFormat="1" ht="15" customHeight="1">
      <c r="A45" s="11"/>
      <c r="B45" s="11"/>
      <c r="C45" s="43">
        <f t="shared" si="14"/>
        <v>15</v>
      </c>
      <c r="D45" s="43"/>
      <c r="E45" s="43"/>
      <c r="F45" s="169">
        <f aca="true" t="shared" si="35" ref="F45:F54">IF(V45=0,IF(V44=1,"ИТОГО"," "),IF(C$18=H$18+1,IF(U45=C$18,IF(MONTH(F44)=2,IF(DAY(H$21)&gt;29,DATE(YEAR(F44),MONTH(F44),BB45),DATE(YEAR(F44),MONTH(F44),W45)),DATE(YEAR(F44),MONTH(F44),W45)),DATE(YEAR(F44),MONTH(F44)+1,W45)),DATE(YEAR(F44),MONTH(F44)+1,W45)))</f>
        <v>43758</v>
      </c>
      <c r="G45" s="170"/>
      <c r="H45" s="216">
        <f>IF(V45=0,IF(V44=1,H31+H32+H33+H34+H35+H36+H37+H38+H39+H40+H41+H42+H43+H44," "),IF(V45=0," ",IF(V46=1,H31,IF(V46=0,H14-H31*(X18-1)," "))))</f>
        <v>83.34</v>
      </c>
      <c r="I45" s="216"/>
      <c r="J45" s="151">
        <f>IF(V45=0,IF(V44=1,J31+J32+J33+J34+J35+J36+J37+J38+J39+J40+J41+J42+J43+J44," "),IF(U1=1,X45,IF(U1=2,Y45," ")))</f>
        <v>38.758066666666636</v>
      </c>
      <c r="K45" s="151">
        <f>IF(V45=0,IF(V44=1," "," "),IF(U1=1,0,IF(U1=2,0," ")))</f>
        <v>0</v>
      </c>
      <c r="L45" s="151">
        <f t="shared" si="16"/>
        <v>122.09806666666664</v>
      </c>
      <c r="M45" s="21"/>
      <c r="N45" s="120"/>
      <c r="O45" s="120"/>
      <c r="P45" s="120"/>
      <c r="Q45" s="135">
        <f t="shared" si="17"/>
        <v>80</v>
      </c>
      <c r="R45" s="135">
        <f t="shared" si="0"/>
        <v>40.42888888888889</v>
      </c>
      <c r="S45" s="135">
        <v>0</v>
      </c>
      <c r="T45" s="135">
        <f t="shared" si="18"/>
        <v>120.42888888888889</v>
      </c>
      <c r="U45" s="29">
        <f t="shared" si="19"/>
        <v>15</v>
      </c>
      <c r="V45" s="16">
        <f>IF(U1=1,IF(X18&gt;14,1,0),IF(U1=2,IF(X18&gt;14,1,0),0))</f>
        <v>1</v>
      </c>
      <c r="W45" s="16">
        <f t="shared" si="1"/>
        <v>20</v>
      </c>
      <c r="X45" s="58">
        <f t="shared" si="20"/>
        <v>38.758066666666636</v>
      </c>
      <c r="Y45" s="58">
        <f t="shared" si="21"/>
        <v>38.758066666666636</v>
      </c>
      <c r="Z45" s="58">
        <f t="shared" si="22"/>
        <v>2833.239999999998</v>
      </c>
      <c r="AA45" s="58">
        <f t="shared" si="23"/>
        <v>83.34</v>
      </c>
      <c r="AB45" s="58">
        <f t="shared" si="24"/>
        <v>80</v>
      </c>
      <c r="AC45" s="58">
        <f>IF(V46=1,Z44*H15*20/36000+Z45*H15*10/36000,IF(V46=0,IF(V45=0,0,Z45*H15*AB16/36000+Z44*H15*20/36000+Z45*H15*10/36000)))</f>
        <v>38.758066666666636</v>
      </c>
      <c r="AD45" s="58">
        <f>IF(V46=1,Z44*H15*20/36000+Z45*H15*10/36000,IF(V46=0,IF(V45=0,0,Z45*H15*AB16/36000+Z44*H15*20/36000+Z45*H15*10/36000)))</f>
        <v>38.758066666666636</v>
      </c>
      <c r="AE45" s="58">
        <f t="shared" si="25"/>
        <v>53.66666666666668</v>
      </c>
      <c r="AF45" s="58">
        <f t="shared" si="26"/>
        <v>50</v>
      </c>
      <c r="AG45" s="58">
        <f t="shared" si="2"/>
        <v>2960</v>
      </c>
      <c r="AH45" s="58">
        <f>IF(V46=1,AG44*H$15*20/36000+AG45*H$15*10/36000,IF(V46=0,IF(V45=0,0,AG45*H$15*AB$16/36000+AG44*H$15*20/36000+AG45*H$15*10/36000)))</f>
        <v>40.42888888888889</v>
      </c>
      <c r="AI45" s="58">
        <f t="shared" si="27"/>
        <v>40.42888888888889</v>
      </c>
      <c r="AJ45" s="58">
        <f>IF(Z46=0,Z45*AB16,(Z44*20+Z45*10))</f>
        <v>86663.99999999994</v>
      </c>
      <c r="AK45" s="58"/>
      <c r="AL45" s="58">
        <f t="shared" si="3"/>
        <v>0</v>
      </c>
      <c r="AM45" s="58">
        <f t="shared" si="4"/>
        <v>0</v>
      </c>
      <c r="AN45" s="58">
        <f t="shared" si="28"/>
        <v>0</v>
      </c>
      <c r="AO45" s="58">
        <f t="shared" si="5"/>
        <v>0</v>
      </c>
      <c r="AP45" s="58">
        <f t="shared" si="29"/>
        <v>0</v>
      </c>
      <c r="AQ45" s="58">
        <f t="shared" si="6"/>
        <v>0</v>
      </c>
      <c r="AR45" s="58">
        <f t="shared" si="7"/>
        <v>2833.239999999998</v>
      </c>
      <c r="AS45" s="58">
        <f>IF(V46=1,AR44*K16*20/36000+AR45*K16*10/36000,IF(V46=0,IF(V45=0,0,AR45*K16*AB16/36000+AR44*K16*20/36000+AR45*K16*10/36000)))</f>
        <v>0</v>
      </c>
      <c r="AT45" s="58">
        <f>IF(V46=1,AR44*K16*20/36000+AR45*K16*10/36000,IF(V46=0,IF(V45=0,0,AR45*K16*AB16/36000+AR44*K16*20/36000+AR45*K16*10/36000)))</f>
        <v>0</v>
      </c>
      <c r="AU45" s="59">
        <f t="shared" si="30"/>
        <v>10</v>
      </c>
      <c r="AV45" s="59">
        <f t="shared" si="8"/>
        <v>10</v>
      </c>
      <c r="AW45" s="16">
        <f t="shared" si="31"/>
        <v>2019</v>
      </c>
      <c r="AX45" s="16">
        <f t="shared" si="9"/>
        <v>2019</v>
      </c>
      <c r="AY45" s="16">
        <f t="shared" si="10"/>
        <v>0</v>
      </c>
      <c r="AZ45" s="16">
        <f t="shared" si="11"/>
        <v>30</v>
      </c>
      <c r="BA45" s="16">
        <f t="shared" si="12"/>
        <v>20</v>
      </c>
      <c r="BB45" s="16">
        <f t="shared" si="32"/>
        <v>30</v>
      </c>
      <c r="BC45" s="16"/>
      <c r="BD45" s="16"/>
      <c r="BE45" s="16"/>
      <c r="BF45" s="16"/>
      <c r="BG45" s="16"/>
      <c r="BH45" s="16">
        <f t="shared" si="13"/>
        <v>0</v>
      </c>
      <c r="BI45" s="16"/>
      <c r="BJ45" s="16">
        <f t="shared" si="33"/>
        <v>244.19613333333328</v>
      </c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7"/>
      <c r="BV45" s="17"/>
      <c r="BW45" s="17"/>
      <c r="BX45" s="17"/>
      <c r="BY45" s="17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</row>
    <row r="46" spans="1:150" s="5" customFormat="1" ht="15" customHeight="1">
      <c r="A46" s="11"/>
      <c r="B46" s="11"/>
      <c r="C46" s="60">
        <f t="shared" si="14"/>
        <v>16</v>
      </c>
      <c r="D46" s="60"/>
      <c r="E46" s="60"/>
      <c r="F46" s="169">
        <f t="shared" si="35"/>
        <v>43789</v>
      </c>
      <c r="G46" s="170"/>
      <c r="H46" s="216">
        <f>IF(V46=0,IF(V45=1,H31+H32+H33+H34+H35+H36+H37+H38+H39+H40+H41+H42+H43+H44+H45," "),IF(V46=0," ",IF(V47=1,H31,IF(V47=0,H14-H31*(X18-1)," "))))</f>
        <v>83.34</v>
      </c>
      <c r="I46" s="216"/>
      <c r="J46" s="151">
        <f>IF(V46=0,IF(V45=1,J31+J32+J33+J34+J35+J36+J37+J38+J39+J40+J41+J42+J43+J44+J45," "),IF(U1=1,X46,IF(U1=2,Y46," ")))</f>
        <v>37.63992166666664</v>
      </c>
      <c r="K46" s="151">
        <f>IF(V46=0,IF(V45=1," "," "),IF(U1=1,0,IF(U1=2,0," ")))</f>
        <v>0</v>
      </c>
      <c r="L46" s="151">
        <f t="shared" si="16"/>
        <v>120.97992166666664</v>
      </c>
      <c r="M46" s="21"/>
      <c r="N46" s="120"/>
      <c r="O46" s="120"/>
      <c r="P46" s="120"/>
      <c r="Q46" s="135">
        <f t="shared" si="17"/>
        <v>80</v>
      </c>
      <c r="R46" s="135">
        <f t="shared" si="0"/>
        <v>39.35555555555556</v>
      </c>
      <c r="S46" s="135">
        <v>0</v>
      </c>
      <c r="T46" s="135">
        <f t="shared" si="18"/>
        <v>119.35555555555555</v>
      </c>
      <c r="U46" s="29">
        <f t="shared" si="19"/>
        <v>16</v>
      </c>
      <c r="V46" s="16">
        <f>IF(U1=1,IF(X18&gt;15,1,0),IF(U1=2,IF(X18&gt;15,1,0),0))</f>
        <v>1</v>
      </c>
      <c r="W46" s="16">
        <f t="shared" si="1"/>
        <v>20</v>
      </c>
      <c r="X46" s="58">
        <f t="shared" si="20"/>
        <v>37.63992166666664</v>
      </c>
      <c r="Y46" s="58">
        <f t="shared" si="21"/>
        <v>37.63992166666664</v>
      </c>
      <c r="Z46" s="58">
        <f t="shared" si="22"/>
        <v>2749.899999999998</v>
      </c>
      <c r="AA46" s="58">
        <f t="shared" si="23"/>
        <v>83.34</v>
      </c>
      <c r="AB46" s="58">
        <f t="shared" si="24"/>
        <v>80</v>
      </c>
      <c r="AC46" s="58">
        <f>IF(V47=1,Z45*H15*20/36000+Z46*H15*10/36000,IF(V47=0,IF(V46=0,0,Z46*H15*AB16/36000+Z45*H15*20/36000+Z46*H15*10/36000)))</f>
        <v>37.63992166666664</v>
      </c>
      <c r="AD46" s="58">
        <f>IF(V47=1,Z45*H15*20/36000+Z46*H15*10/36000,IF(V47=0,IF(V46=0,0,Z46*H15*AB16/36000+Z45*H15*20/36000+Z46*H15*10/36000)))</f>
        <v>37.63992166666664</v>
      </c>
      <c r="AE46" s="58">
        <f t="shared" si="25"/>
        <v>53.66666666666668</v>
      </c>
      <c r="AF46" s="58">
        <f t="shared" si="26"/>
        <v>50</v>
      </c>
      <c r="AG46" s="58">
        <f t="shared" si="2"/>
        <v>2880</v>
      </c>
      <c r="AH46" s="58">
        <f>IF(V47=1,AG45*H$15*20/36000+AG46*H$15*10/36000,IF(V47=0,IF(V46=0,0,AG46*H$15*AB$16/36000+AG45*H$15*20/36000+AG46*H$15*10/36000)))</f>
        <v>39.35555555555556</v>
      </c>
      <c r="AI46" s="58">
        <f t="shared" si="27"/>
        <v>39.35555555555556</v>
      </c>
      <c r="AJ46" s="58">
        <f>IF(Z47=0,Z46*AB16,(Z45*20+Z46*10))</f>
        <v>84163.79999999993</v>
      </c>
      <c r="AK46" s="58"/>
      <c r="AL46" s="58">
        <f t="shared" si="3"/>
        <v>0</v>
      </c>
      <c r="AM46" s="58">
        <f t="shared" si="4"/>
        <v>0</v>
      </c>
      <c r="AN46" s="58">
        <f t="shared" si="28"/>
        <v>0</v>
      </c>
      <c r="AO46" s="58">
        <f t="shared" si="5"/>
        <v>0</v>
      </c>
      <c r="AP46" s="58">
        <f t="shared" si="29"/>
        <v>0</v>
      </c>
      <c r="AQ46" s="58">
        <f t="shared" si="6"/>
        <v>0</v>
      </c>
      <c r="AR46" s="58">
        <f t="shared" si="7"/>
        <v>2749.899999999998</v>
      </c>
      <c r="AS46" s="58">
        <f>IF(V47=1,AR45*K16*20/36000+AR46*K16*10/36000,IF(V47=0,IF(V46=0,0,AR46*K16*AB16/36000+AR45*K16*20/36000+AR46*K16*10/36000)))</f>
        <v>0</v>
      </c>
      <c r="AT46" s="58">
        <f>IF(V47=1,AR45*K16*20/36000+AR46*K16*10/36000,IF(V47=0,IF(V46=0,0,AR46*K16*AB16/36000+AR45*K16*20/36000+AR46*K16*10/36000)))</f>
        <v>0</v>
      </c>
      <c r="AU46" s="59">
        <f t="shared" si="30"/>
        <v>11</v>
      </c>
      <c r="AV46" s="59">
        <f t="shared" si="8"/>
        <v>11</v>
      </c>
      <c r="AW46" s="16">
        <f t="shared" si="31"/>
        <v>2019</v>
      </c>
      <c r="AX46" s="16">
        <f t="shared" si="9"/>
        <v>2019</v>
      </c>
      <c r="AY46" s="16">
        <f t="shared" si="10"/>
        <v>0</v>
      </c>
      <c r="AZ46" s="16">
        <f t="shared" si="11"/>
        <v>30</v>
      </c>
      <c r="BA46" s="16">
        <f t="shared" si="12"/>
        <v>20</v>
      </c>
      <c r="BB46" s="16">
        <f t="shared" si="32"/>
        <v>30</v>
      </c>
      <c r="BC46" s="16"/>
      <c r="BD46" s="16"/>
      <c r="BE46" s="16"/>
      <c r="BF46" s="16"/>
      <c r="BG46" s="16"/>
      <c r="BH46" s="16">
        <f t="shared" si="13"/>
        <v>0</v>
      </c>
      <c r="BI46" s="16"/>
      <c r="BJ46" s="16">
        <f t="shared" si="33"/>
        <v>241.95984333333328</v>
      </c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7"/>
      <c r="BV46" s="17"/>
      <c r="BW46" s="17"/>
      <c r="BX46" s="17"/>
      <c r="BY46" s="17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</row>
    <row r="47" spans="1:150" s="5" customFormat="1" ht="15" customHeight="1">
      <c r="A47" s="11"/>
      <c r="B47" s="11"/>
      <c r="C47" s="60">
        <f t="shared" si="14"/>
        <v>17</v>
      </c>
      <c r="D47" s="60"/>
      <c r="E47" s="60"/>
      <c r="F47" s="169">
        <f t="shared" si="35"/>
        <v>43819</v>
      </c>
      <c r="G47" s="170"/>
      <c r="H47" s="216">
        <f>IF(V47=0,IF(V46=1,H31+H32+H33+H34+H35+H36+H37+H38+H39+H40+H41+H42+H43+H44+H45+H46," "),IF(V47=0," ",IF(V48=1,H31,IF(V48=0,H14-H31*(X18-1)," "))))</f>
        <v>83.34</v>
      </c>
      <c r="I47" s="216"/>
      <c r="J47" s="151">
        <f>IF(V47=0,IF(V46=1,J31+J32+J33+J34+J35+J36+J37+J38+J39+J40+J42+J41+J43+J44+J45+J46," "),IF(U1=1,X47,IF(U1=2,Y47," ")))</f>
        <v>36.52177666666664</v>
      </c>
      <c r="K47" s="151">
        <f>IF(V47=0,IF(V46=1," "," "),IF(U1=1,0,IF(U1=2,0," ")))</f>
        <v>0</v>
      </c>
      <c r="L47" s="151">
        <f t="shared" si="16"/>
        <v>119.86177666666664</v>
      </c>
      <c r="M47" s="21"/>
      <c r="N47" s="120"/>
      <c r="O47" s="120"/>
      <c r="P47" s="120"/>
      <c r="Q47" s="135">
        <f t="shared" si="17"/>
        <v>80</v>
      </c>
      <c r="R47" s="135">
        <f t="shared" si="0"/>
        <v>38.282222222222224</v>
      </c>
      <c r="S47" s="135">
        <v>0</v>
      </c>
      <c r="T47" s="135">
        <f t="shared" si="18"/>
        <v>118.28222222222223</v>
      </c>
      <c r="U47" s="29">
        <f t="shared" si="19"/>
        <v>17</v>
      </c>
      <c r="V47" s="16">
        <f>IF(U1=1,IF(X18&gt;16,1,0),IF(U1=2,IF(X18&gt;16,1,0),0))</f>
        <v>1</v>
      </c>
      <c r="W47" s="16">
        <f t="shared" si="1"/>
        <v>20</v>
      </c>
      <c r="X47" s="58">
        <f t="shared" si="20"/>
        <v>36.52177666666664</v>
      </c>
      <c r="Y47" s="58">
        <f t="shared" si="21"/>
        <v>36.52177666666664</v>
      </c>
      <c r="Z47" s="58">
        <f t="shared" si="22"/>
        <v>2666.5599999999977</v>
      </c>
      <c r="AA47" s="58">
        <f t="shared" si="23"/>
        <v>83.34</v>
      </c>
      <c r="AB47" s="58">
        <f t="shared" si="24"/>
        <v>80</v>
      </c>
      <c r="AC47" s="58">
        <f>IF(V48=1,Z46*H15*20/36000+Z47*H15*10/36000,IF(V48=0,IF(V47=0,0,Z47*H15*AB16/36000+Z46*H15*20/36000+Z47*H15*10/36000)))</f>
        <v>36.52177666666664</v>
      </c>
      <c r="AD47" s="58">
        <f>IF(V48=1,Z46*H15*20/36000+Z47*H15*10/36000,IF(V48=0,IF(V47=0,0,Z47*H15*AB16/36000+Z46*H15*20/36000+Z47*H15*10/36000)))</f>
        <v>36.52177666666664</v>
      </c>
      <c r="AE47" s="58">
        <f t="shared" si="25"/>
        <v>53.66666666666668</v>
      </c>
      <c r="AF47" s="58">
        <f t="shared" si="26"/>
        <v>50</v>
      </c>
      <c r="AG47" s="58">
        <f t="shared" si="2"/>
        <v>2800</v>
      </c>
      <c r="AH47" s="58">
        <f>IF(V48=1,AG46*H$15*20/36000+AG47*H$15*10/36000,IF(V48=0,IF(V47=0,0,AG47*H$15*AB$16/36000+AG46*H$15*20/36000+AG47*H$15*10/36000)))</f>
        <v>38.282222222222224</v>
      </c>
      <c r="AI47" s="58">
        <f t="shared" si="27"/>
        <v>38.282222222222224</v>
      </c>
      <c r="AJ47" s="58">
        <f>IF(Z48=0,Z47*AB16,(Z46*20+Z47*10))</f>
        <v>81663.59999999993</v>
      </c>
      <c r="AK47" s="58"/>
      <c r="AL47" s="58">
        <f t="shared" si="3"/>
        <v>0</v>
      </c>
      <c r="AM47" s="58">
        <f t="shared" si="4"/>
        <v>0</v>
      </c>
      <c r="AN47" s="58">
        <f t="shared" si="28"/>
        <v>0</v>
      </c>
      <c r="AO47" s="58">
        <f t="shared" si="5"/>
        <v>0</v>
      </c>
      <c r="AP47" s="58">
        <f t="shared" si="29"/>
        <v>0</v>
      </c>
      <c r="AQ47" s="58">
        <f t="shared" si="6"/>
        <v>0</v>
      </c>
      <c r="AR47" s="58">
        <f t="shared" si="7"/>
        <v>2666.5599999999977</v>
      </c>
      <c r="AS47" s="58">
        <f>IF(V48=1,AR46*K16*20/36000+AR47*K16*10/36000,IF(V48=0,IF(V47=0,0,AR47*K16*AB16/36000+AR46*K16*20/36000+AR47*K16*10/36000)))</f>
        <v>0</v>
      </c>
      <c r="AT47" s="58">
        <f>IF(V48=1,AR46*K16*20/36000+AR47*K16*10/36000,IF(V48=0,IF(V47=0,0,AR47*K16*AB16/36000+AR46*K16*20/36000+AR47*K16*10/36000)))</f>
        <v>0</v>
      </c>
      <c r="AU47" s="59">
        <f t="shared" si="30"/>
        <v>12</v>
      </c>
      <c r="AV47" s="59">
        <f t="shared" si="8"/>
        <v>12</v>
      </c>
      <c r="AW47" s="16">
        <f t="shared" si="31"/>
        <v>2019</v>
      </c>
      <c r="AX47" s="16">
        <f t="shared" si="9"/>
        <v>2019</v>
      </c>
      <c r="AY47" s="16">
        <f t="shared" si="10"/>
        <v>0</v>
      </c>
      <c r="AZ47" s="16">
        <f t="shared" si="11"/>
        <v>30</v>
      </c>
      <c r="BA47" s="16">
        <f t="shared" si="12"/>
        <v>20</v>
      </c>
      <c r="BB47" s="16">
        <f t="shared" si="32"/>
        <v>30</v>
      </c>
      <c r="BC47" s="16"/>
      <c r="BD47" s="16"/>
      <c r="BE47" s="16"/>
      <c r="BF47" s="16"/>
      <c r="BG47" s="16"/>
      <c r="BH47" s="16">
        <f t="shared" si="13"/>
        <v>0</v>
      </c>
      <c r="BI47" s="16"/>
      <c r="BJ47" s="16">
        <f t="shared" si="33"/>
        <v>239.72355333333329</v>
      </c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7"/>
      <c r="BV47" s="17"/>
      <c r="BW47" s="17"/>
      <c r="BX47" s="17"/>
      <c r="BY47" s="17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</row>
    <row r="48" spans="1:150" s="5" customFormat="1" ht="15" customHeight="1">
      <c r="A48" s="11"/>
      <c r="B48" s="11"/>
      <c r="C48" s="60">
        <f t="shared" si="14"/>
        <v>18</v>
      </c>
      <c r="D48" s="60"/>
      <c r="E48" s="60"/>
      <c r="F48" s="169">
        <f t="shared" si="35"/>
        <v>43850</v>
      </c>
      <c r="G48" s="170"/>
      <c r="H48" s="216">
        <f>IF(V48=0,IF(V47=1,H31+H32+H33+H34+H35+H36+H37+H38+H39+H40+H41+H42+H43+H44+H45+H46+H47," "),IF(V48=0," ",IF(V49=1,H31,IF(V49=0,H14-H31*(X18-1)," "))))</f>
        <v>83.34</v>
      </c>
      <c r="I48" s="216"/>
      <c r="J48" s="151">
        <f>IF(V48=0,IF(V47=1,J31+J32+J33+J34+J35+J36+J37+J38+J39+J40+J41+J42+J43+J44+J45+J46+J47," "),IF(U1=1,X48,IF(U1=2,Y48," ")))</f>
        <v>35.40363166666664</v>
      </c>
      <c r="K48" s="151">
        <f>IF(V48=0,IF(V47=1," "," "),IF(U1=1,0,IF(U1=2,0," ")))</f>
        <v>0</v>
      </c>
      <c r="L48" s="151">
        <f t="shared" si="16"/>
        <v>118.74363166666664</v>
      </c>
      <c r="M48" s="21"/>
      <c r="N48" s="120"/>
      <c r="O48" s="120"/>
      <c r="P48" s="120"/>
      <c r="Q48" s="135">
        <f t="shared" si="17"/>
        <v>80</v>
      </c>
      <c r="R48" s="135">
        <f t="shared" si="0"/>
        <v>37.20888888888889</v>
      </c>
      <c r="S48" s="135">
        <v>0</v>
      </c>
      <c r="T48" s="135">
        <f t="shared" si="18"/>
        <v>117.2088888888889</v>
      </c>
      <c r="U48" s="29">
        <f t="shared" si="19"/>
        <v>18</v>
      </c>
      <c r="V48" s="16">
        <f>IF(U1=1,IF(X18&gt;17,1,0),IF(U1=2,IF(X18&gt;17,1,0),0))</f>
        <v>1</v>
      </c>
      <c r="W48" s="16">
        <f t="shared" si="1"/>
        <v>20</v>
      </c>
      <c r="X48" s="58">
        <f t="shared" si="20"/>
        <v>35.40363166666664</v>
      </c>
      <c r="Y48" s="58">
        <f t="shared" si="21"/>
        <v>35.40363166666664</v>
      </c>
      <c r="Z48" s="58">
        <f t="shared" si="22"/>
        <v>2583.2199999999975</v>
      </c>
      <c r="AA48" s="58">
        <f t="shared" si="23"/>
        <v>83.34</v>
      </c>
      <c r="AB48" s="58">
        <f t="shared" si="24"/>
        <v>80</v>
      </c>
      <c r="AC48" s="58">
        <f>IF(V49=1,Z47*H15*20/36000+Z48*H15*10/36000,IF(V49=0,IF(V48=0,0,Z48*H15*AB16/36000+Z47*H15*20/36000+Z48*H15*10/36000)))</f>
        <v>35.40363166666664</v>
      </c>
      <c r="AD48" s="58">
        <f>IF(V49=1,Z47*H$15*20/36000+Z48*H$15*10/36000,IF(V49=0,IF(V48=0,0,IF(H26&gt;20,Z47*H$15*20/36000+Z48*H$15*(AB$16-20)/36000,Z48*H$15*AB$16/36000))))</f>
        <v>35.40363166666664</v>
      </c>
      <c r="AE48" s="58">
        <f t="shared" si="25"/>
        <v>53.66666666666668</v>
      </c>
      <c r="AF48" s="58">
        <f t="shared" si="26"/>
        <v>50</v>
      </c>
      <c r="AG48" s="58">
        <f t="shared" si="2"/>
        <v>2720</v>
      </c>
      <c r="AH48" s="58">
        <f>IF(V49=1,AG47*H$15*20/36000+AG48*H$15*10/36000,IF(V49=0,IF(V48=0,0,AG48*H$15*AB$16/36000+AG47*H$15*20/36000+AG48*H$15*10/36000)))</f>
        <v>37.20888888888889</v>
      </c>
      <c r="AI48" s="58">
        <f t="shared" si="27"/>
        <v>37.20888888888889</v>
      </c>
      <c r="AJ48" s="58">
        <f>IF(Z49=0,Z48*AB16,(Z47*20+Z48*10))</f>
        <v>79163.39999999994</v>
      </c>
      <c r="AK48" s="58"/>
      <c r="AL48" s="58">
        <f t="shared" si="3"/>
        <v>0</v>
      </c>
      <c r="AM48" s="58">
        <f t="shared" si="4"/>
        <v>0</v>
      </c>
      <c r="AN48" s="58">
        <f t="shared" si="28"/>
        <v>0</v>
      </c>
      <c r="AO48" s="58">
        <f t="shared" si="5"/>
        <v>0</v>
      </c>
      <c r="AP48" s="58">
        <f t="shared" si="29"/>
        <v>0</v>
      </c>
      <c r="AQ48" s="58">
        <f t="shared" si="6"/>
        <v>0</v>
      </c>
      <c r="AR48" s="58">
        <f t="shared" si="7"/>
        <v>2583.2199999999975</v>
      </c>
      <c r="AS48" s="58">
        <f>IF(V49=1,AR47*K16*20/36000+AR48*K16*10/36000,IF(V49=0,IF(V48=0,0,AR48*K16*AB16/36000+AR47*K16*20/36000+AR48*K16*10/36000)))</f>
        <v>0</v>
      </c>
      <c r="AT48" s="58">
        <f>IF(V49=1,AR47*K16*20/36000+AR48*K16*10/36000,IF(V49=0,IF(V48=0,0,AR48*K16*AB16/36000+AR47*K16*20/36000+AR48*K16*10/36000)))</f>
        <v>0</v>
      </c>
      <c r="AU48" s="59">
        <f t="shared" si="30"/>
        <v>13</v>
      </c>
      <c r="AV48" s="59">
        <f t="shared" si="8"/>
        <v>1</v>
      </c>
      <c r="AW48" s="16">
        <f t="shared" si="31"/>
        <v>2019</v>
      </c>
      <c r="AX48" s="16">
        <f t="shared" si="9"/>
        <v>2020</v>
      </c>
      <c r="AY48" s="16">
        <f t="shared" si="10"/>
        <v>0</v>
      </c>
      <c r="AZ48" s="16">
        <f t="shared" si="11"/>
        <v>30</v>
      </c>
      <c r="BA48" s="16">
        <f t="shared" si="12"/>
        <v>20</v>
      </c>
      <c r="BB48" s="16">
        <f t="shared" si="32"/>
        <v>30</v>
      </c>
      <c r="BC48" s="16"/>
      <c r="BD48" s="16"/>
      <c r="BE48" s="16"/>
      <c r="BF48" s="16"/>
      <c r="BG48" s="16"/>
      <c r="BH48" s="16">
        <f t="shared" si="13"/>
        <v>0</v>
      </c>
      <c r="BI48" s="16"/>
      <c r="BJ48" s="16">
        <f t="shared" si="33"/>
        <v>237.4872633333333</v>
      </c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7"/>
      <c r="BV48" s="17"/>
      <c r="BW48" s="17"/>
      <c r="BX48" s="17"/>
      <c r="BY48" s="17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</row>
    <row r="49" spans="1:150" s="7" customFormat="1" ht="15" customHeight="1">
      <c r="A49" s="11"/>
      <c r="B49" s="11"/>
      <c r="C49" s="60">
        <f t="shared" si="14"/>
        <v>19</v>
      </c>
      <c r="D49" s="60"/>
      <c r="E49" s="60"/>
      <c r="F49" s="213">
        <f t="shared" si="35"/>
        <v>43881</v>
      </c>
      <c r="G49" s="214"/>
      <c r="H49" s="217">
        <f>IF(V49=0,IF(V48=1,H31+H32+H33+H34+H35+H36+H37+H38+H39+H40+H41+H42+H43+H44+H45+H46+H47+H48," "),IF(V49=0," ",IF(V50=1,H31,IF(V50=0,H14-H31*(X18-1)," "))))</f>
        <v>83.34</v>
      </c>
      <c r="I49" s="217"/>
      <c r="J49" s="152">
        <f>IF(V49=0,IF(V48=1,J31+J32+J33+J34+J35+J36+J37+J38+J39+J40+J41+J42+J43+J44+J45+J46+J47+J48," "),IF(U1=1,X49,IF(U1=2,Y49," ")))</f>
        <v>34.285486666666635</v>
      </c>
      <c r="K49" s="152">
        <f>IF(V49=0,IF(V48=1," "," "),IF(U1=1,0,IF(U1=2,0," ")))</f>
        <v>0</v>
      </c>
      <c r="L49" s="152">
        <f t="shared" si="16"/>
        <v>117.62548666666663</v>
      </c>
      <c r="M49" s="21"/>
      <c r="N49" s="120"/>
      <c r="O49" s="120"/>
      <c r="P49" s="120"/>
      <c r="Q49" s="135">
        <f t="shared" si="17"/>
        <v>80</v>
      </c>
      <c r="R49" s="135">
        <f t="shared" si="0"/>
        <v>36.135555555555555</v>
      </c>
      <c r="S49" s="135">
        <v>0</v>
      </c>
      <c r="T49" s="135">
        <f t="shared" si="18"/>
        <v>116.13555555555556</v>
      </c>
      <c r="U49" s="29">
        <f t="shared" si="19"/>
        <v>19</v>
      </c>
      <c r="V49" s="16">
        <f>IF(U1=1,IF(X18&gt;18,1,0),IF(U1=2,IF(X18&gt;18,1,0),0))</f>
        <v>1</v>
      </c>
      <c r="W49" s="16">
        <f t="shared" si="1"/>
        <v>20</v>
      </c>
      <c r="X49" s="58">
        <f t="shared" si="20"/>
        <v>34.285486666666635</v>
      </c>
      <c r="Y49" s="58">
        <f t="shared" si="21"/>
        <v>34.285486666666635</v>
      </c>
      <c r="Z49" s="58">
        <f t="shared" si="22"/>
        <v>2499.8799999999974</v>
      </c>
      <c r="AA49" s="58">
        <f t="shared" si="23"/>
        <v>83.34</v>
      </c>
      <c r="AB49" s="58">
        <f t="shared" si="24"/>
        <v>80</v>
      </c>
      <c r="AC49" s="58">
        <f>IF(V50=1,Z48*H$15*20/36000+Z49*H$15*10/36000,IF(V50=0,IF(V49=0,0,IF(H21&gt;20,Z48*H$15*20/36000+Z49*H$15*(AB$16-20)/36000,Z49*H$15*AB$16/36000))))</f>
        <v>34.285486666666635</v>
      </c>
      <c r="AD49" s="58">
        <f>IF(V50=1,Z48*H$15*20/36000+Z49*H$15*10/36000,IF(V50=0,IF(V49=0,0,IF(H27&gt;20,Z48*H$15*20/36000+Z49*H$15*(AB$16-20)/36000,Z49*H$15*AB$16/36000))))</f>
        <v>34.285486666666635</v>
      </c>
      <c r="AE49" s="58">
        <f t="shared" si="25"/>
        <v>53.66666666666668</v>
      </c>
      <c r="AF49" s="58">
        <f t="shared" si="26"/>
        <v>50</v>
      </c>
      <c r="AG49" s="58">
        <f t="shared" si="2"/>
        <v>2640</v>
      </c>
      <c r="AH49" s="58">
        <f>IF(V50=1,AG48*H$15*20/36000+AG49*H$15*10/36000,IF(V50=0,IF(V49=0,0,IF(H$21&gt;20,AG48*H$15*20/36000+AG49*H$15*(AB$16-20)/36000,AG49*H$15*AB$16/36000))))</f>
        <v>36.135555555555555</v>
      </c>
      <c r="AI49" s="58">
        <f t="shared" si="27"/>
        <v>36.135555555555555</v>
      </c>
      <c r="AJ49" s="58">
        <f>IF(Z50=0,Z49*AB16,(Z48*20+Z49*10))</f>
        <v>76663.19999999992</v>
      </c>
      <c r="AK49" s="58"/>
      <c r="AL49" s="58">
        <f t="shared" si="3"/>
        <v>0</v>
      </c>
      <c r="AM49" s="58">
        <f t="shared" si="4"/>
        <v>0</v>
      </c>
      <c r="AN49" s="58">
        <f t="shared" si="28"/>
        <v>0</v>
      </c>
      <c r="AO49" s="58">
        <f t="shared" si="5"/>
        <v>0</v>
      </c>
      <c r="AP49" s="58">
        <f t="shared" si="29"/>
        <v>0</v>
      </c>
      <c r="AQ49" s="58">
        <f t="shared" si="6"/>
        <v>0</v>
      </c>
      <c r="AR49" s="58">
        <f t="shared" si="7"/>
        <v>2499.8799999999974</v>
      </c>
      <c r="AS49" s="58">
        <f>IF(V50=1,AR48*K$16*20/36000+AR49*K$16*10/36000,IF(V50=0,IF(V49=0,0,AR49*K$16*AB$16/36000)))</f>
        <v>0</v>
      </c>
      <c r="AT49" s="58">
        <f>IF(V50=1,AR48*K$16*20/36000+AR49*K$16*10/36000,IF(V50=0,IF(V49=0,0,AR49*K$16*AB$16/36000)))</f>
        <v>0</v>
      </c>
      <c r="AU49" s="59">
        <f t="shared" si="30"/>
        <v>2</v>
      </c>
      <c r="AV49" s="59">
        <f t="shared" si="8"/>
        <v>2</v>
      </c>
      <c r="AW49" s="16">
        <f t="shared" si="31"/>
        <v>2020</v>
      </c>
      <c r="AX49" s="16">
        <f t="shared" si="9"/>
        <v>2020</v>
      </c>
      <c r="AY49" s="16">
        <f t="shared" si="10"/>
        <v>1</v>
      </c>
      <c r="AZ49" s="16">
        <f t="shared" si="11"/>
        <v>29</v>
      </c>
      <c r="BA49" s="16">
        <f t="shared" si="12"/>
        <v>20</v>
      </c>
      <c r="BB49" s="16">
        <f t="shared" si="32"/>
        <v>30</v>
      </c>
      <c r="BC49" s="16"/>
      <c r="BD49" s="16"/>
      <c r="BE49" s="16"/>
      <c r="BF49" s="16"/>
      <c r="BG49" s="16"/>
      <c r="BH49" s="16">
        <f t="shared" si="13"/>
        <v>0</v>
      </c>
      <c r="BI49" s="16"/>
      <c r="BJ49" s="16">
        <f t="shared" si="33"/>
        <v>235.25097333333326</v>
      </c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7"/>
      <c r="BV49" s="17"/>
      <c r="BW49" s="17"/>
      <c r="BX49" s="17"/>
      <c r="BY49" s="17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</row>
    <row r="50" spans="1:150" s="5" customFormat="1" ht="15" customHeight="1">
      <c r="A50" s="11"/>
      <c r="B50" s="11"/>
      <c r="C50" s="60">
        <f t="shared" si="14"/>
        <v>20</v>
      </c>
      <c r="D50" s="60"/>
      <c r="E50" s="60"/>
      <c r="F50" s="213">
        <f t="shared" si="35"/>
        <v>43910</v>
      </c>
      <c r="G50" s="214"/>
      <c r="H50" s="217">
        <f>IF(V50=0,IF(V49=1,H31+H32+H33+H34+H35+H36+H37+H38+H39+H40+H41+H42+H43+H44+H45+H46+H47+H48+H49," "),IF(V50=0," ",IF(V51=1,H31,IF(V51=0,H14-H31*(X18-1)," "))))</f>
        <v>83.34</v>
      </c>
      <c r="I50" s="217"/>
      <c r="J50" s="152">
        <f>IF(V50=0,IF(V49=1,J31+J32+J33+J34+J35+J36+J37+J38+J39+J40+J41+J42+J43+J44+J45+J46+J47+J48+J49," "),IF(U1=1,X50,IF(U1=2,Y50," ")))</f>
        <v>33.16734166666664</v>
      </c>
      <c r="K50" s="152">
        <f>IF(V50=0,IF(V49=1," "," "),IF(U1=1,0,IF(U1=2,0," ")))</f>
        <v>0</v>
      </c>
      <c r="L50" s="152">
        <f t="shared" si="16"/>
        <v>116.50734166666663</v>
      </c>
      <c r="M50" s="21"/>
      <c r="N50" s="120"/>
      <c r="O50" s="120"/>
      <c r="P50" s="120"/>
      <c r="Q50" s="135">
        <f t="shared" si="17"/>
        <v>80</v>
      </c>
      <c r="R50" s="135">
        <f t="shared" si="0"/>
        <v>35.062222222222225</v>
      </c>
      <c r="S50" s="135">
        <v>0</v>
      </c>
      <c r="T50" s="135">
        <f t="shared" si="18"/>
        <v>115.06222222222223</v>
      </c>
      <c r="U50" s="29">
        <f t="shared" si="19"/>
        <v>20</v>
      </c>
      <c r="V50" s="16">
        <f>IF(U1=1,IF(X18&gt;19,1,0),IF(U1=2,IF(X18&gt;19,1,0),0))</f>
        <v>1</v>
      </c>
      <c r="W50" s="16">
        <f t="shared" si="1"/>
        <v>20</v>
      </c>
      <c r="X50" s="58">
        <f t="shared" si="20"/>
        <v>33.16734166666664</v>
      </c>
      <c r="Y50" s="58">
        <f t="shared" si="21"/>
        <v>33.16734166666664</v>
      </c>
      <c r="Z50" s="58">
        <f t="shared" si="22"/>
        <v>2416.5399999999972</v>
      </c>
      <c r="AA50" s="58">
        <f t="shared" si="23"/>
        <v>83.34</v>
      </c>
      <c r="AB50" s="58">
        <f t="shared" si="24"/>
        <v>80</v>
      </c>
      <c r="AC50" s="58">
        <f>IF(V51=1,Z49*H15*20/36000+Z50*H15*10/36000,IF(V51=0,IF(V50=0,0,Z50*H15*AB16/36000+Z49*H15*20/36000+Z50*H15*10/36000)))</f>
        <v>33.16734166666664</v>
      </c>
      <c r="AD50" s="58">
        <f>IF(V51=1,Z49*H15*20/36000+Z50*H15*10/36000,IF(V51=0,IF(V50=0,0,Z50*H15*AB16/36000+Z49*H15*20/36000+Z50*H15*10/36000)))</f>
        <v>33.16734166666664</v>
      </c>
      <c r="AE50" s="58">
        <f t="shared" si="25"/>
        <v>53.66666666666668</v>
      </c>
      <c r="AF50" s="58">
        <f t="shared" si="26"/>
        <v>50</v>
      </c>
      <c r="AG50" s="58">
        <f t="shared" si="2"/>
        <v>2560</v>
      </c>
      <c r="AH50" s="58">
        <f>IF(V51=1,AG49*H$15*20/36000+AG50*H$15*10/36000,IF(V51=0,IF(V50=0,0,AG50*H$15*AB$16/36000+AG49*H$15*20/36000+AG50*H$15*10/36000)))</f>
        <v>35.062222222222225</v>
      </c>
      <c r="AI50" s="58">
        <f t="shared" si="27"/>
        <v>35.062222222222225</v>
      </c>
      <c r="AJ50" s="58">
        <f>IF(Z51=0,Z50*AB16,(Z49*20+Z50*10))</f>
        <v>74162.99999999991</v>
      </c>
      <c r="AK50" s="58"/>
      <c r="AL50" s="58">
        <f t="shared" si="3"/>
        <v>0</v>
      </c>
      <c r="AM50" s="58">
        <f t="shared" si="4"/>
        <v>0</v>
      </c>
      <c r="AN50" s="58">
        <f t="shared" si="28"/>
        <v>0</v>
      </c>
      <c r="AO50" s="58">
        <f t="shared" si="5"/>
        <v>0</v>
      </c>
      <c r="AP50" s="58">
        <f t="shared" si="29"/>
        <v>0</v>
      </c>
      <c r="AQ50" s="58">
        <f t="shared" si="6"/>
        <v>0</v>
      </c>
      <c r="AR50" s="58">
        <f t="shared" si="7"/>
        <v>2416.5399999999972</v>
      </c>
      <c r="AS50" s="58">
        <f>IF(V51=1,AR49*K16*20/36000+AR50*K16*10/36000,IF(V51=0,IF(V50=0,0,AR50*K16*AB16/36000+AR49*K16*20/36000+AR50*K16*10/36000)))</f>
        <v>0</v>
      </c>
      <c r="AT50" s="58">
        <f>IF(V51=1,AR49*K16*20/36000+AR50*K16*10/36000,IF(V51=0,IF(V50=0,0,AR50*K16*AB16/36000+AR49*K16*20/36000+AR50*K16*10/36000)))</f>
        <v>0</v>
      </c>
      <c r="AU50" s="59">
        <f t="shared" si="30"/>
        <v>3</v>
      </c>
      <c r="AV50" s="59">
        <f t="shared" si="8"/>
        <v>3</v>
      </c>
      <c r="AW50" s="16">
        <f t="shared" si="31"/>
        <v>2020</v>
      </c>
      <c r="AX50" s="16">
        <f t="shared" si="9"/>
        <v>2020</v>
      </c>
      <c r="AY50" s="16">
        <f t="shared" si="10"/>
        <v>1</v>
      </c>
      <c r="AZ50" s="16">
        <f t="shared" si="11"/>
        <v>30</v>
      </c>
      <c r="BA50" s="16">
        <f t="shared" si="12"/>
        <v>20</v>
      </c>
      <c r="BB50" s="16">
        <f t="shared" si="32"/>
        <v>29</v>
      </c>
      <c r="BC50" s="16"/>
      <c r="BD50" s="16"/>
      <c r="BE50" s="16"/>
      <c r="BF50" s="16"/>
      <c r="BG50" s="16"/>
      <c r="BH50" s="16">
        <f t="shared" si="13"/>
        <v>0</v>
      </c>
      <c r="BI50" s="16"/>
      <c r="BJ50" s="16">
        <f t="shared" si="33"/>
        <v>233.01468333333327</v>
      </c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7"/>
      <c r="BV50" s="17"/>
      <c r="BW50" s="17"/>
      <c r="BX50" s="17"/>
      <c r="BY50" s="17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</row>
    <row r="51" spans="1:150" s="5" customFormat="1" ht="15" customHeight="1">
      <c r="A51" s="11"/>
      <c r="B51" s="11"/>
      <c r="C51" s="60">
        <f t="shared" si="14"/>
        <v>21</v>
      </c>
      <c r="D51" s="60"/>
      <c r="E51" s="60"/>
      <c r="F51" s="169">
        <f t="shared" si="35"/>
        <v>43941</v>
      </c>
      <c r="G51" s="170"/>
      <c r="H51" s="216">
        <f>IF(V51=0,IF(V50=1,H31+H32+H33+H34+H35+H36+H37+H38+H39+H40+H41+H42+H43+H44+H45+H46+H47+H48+H49+H50," "),IF(V51=0," ",IF(V52=1,H31,IF(V52=0,H14-H31*(X18-1)," "))))</f>
        <v>83.34</v>
      </c>
      <c r="I51" s="216"/>
      <c r="J51" s="151">
        <f>IF(V51=0,IF(V50=1,J31+J32+J33+J34+J35+J36+J37+J38+J39+J40+J41+J42+J43+J44+J45+J46+J47+J48+J49+J50," "),IF(U1=1,X51,IF(U1=2,Y51," ")))</f>
        <v>32.04919666666663</v>
      </c>
      <c r="K51" s="151">
        <f>IF(V51=0,IF(V50=1," "," "),IF(U1=1,0,IF(U1=2,0," ")))</f>
        <v>0</v>
      </c>
      <c r="L51" s="151">
        <f t="shared" si="16"/>
        <v>115.38919666666663</v>
      </c>
      <c r="M51" s="21"/>
      <c r="N51" s="120"/>
      <c r="O51" s="120"/>
      <c r="P51" s="120"/>
      <c r="Q51" s="135">
        <f t="shared" si="17"/>
        <v>80</v>
      </c>
      <c r="R51" s="135">
        <f t="shared" si="0"/>
        <v>33.98888888888889</v>
      </c>
      <c r="S51" s="135">
        <v>0</v>
      </c>
      <c r="T51" s="135">
        <f t="shared" si="18"/>
        <v>113.98888888888888</v>
      </c>
      <c r="U51" s="29">
        <f t="shared" si="19"/>
        <v>21</v>
      </c>
      <c r="V51" s="16">
        <f>IF(U1=1,IF(X18&gt;20,1,0),IF(U1=2,IF(X18&gt;20,1,0),0))</f>
        <v>1</v>
      </c>
      <c r="W51" s="16">
        <f t="shared" si="1"/>
        <v>20</v>
      </c>
      <c r="X51" s="58">
        <f t="shared" si="20"/>
        <v>32.04919666666663</v>
      </c>
      <c r="Y51" s="58">
        <f t="shared" si="21"/>
        <v>32.04919666666663</v>
      </c>
      <c r="Z51" s="58">
        <f t="shared" si="22"/>
        <v>2333.199999999997</v>
      </c>
      <c r="AA51" s="58">
        <f t="shared" si="23"/>
        <v>83.34</v>
      </c>
      <c r="AB51" s="58">
        <f t="shared" si="24"/>
        <v>80</v>
      </c>
      <c r="AC51" s="58">
        <f>IF(V52=1,Z50*H15*20/36000+Z51*H15*10/36000,IF(V52=0,IF(V51=0,0,Z51*H15*AB16/36000+Z50*H15*20/36000+Z51*H15*10/36000)))</f>
        <v>32.04919666666663</v>
      </c>
      <c r="AD51" s="58">
        <f>IF(V52=1,Z50*H15*20/36000+Z51*H15*10/36000,IF(V52=0,IF(V51=0,0,Z51*H15*AB16/36000+Z50*H15*20/36000+Z51*H15*10/36000)))</f>
        <v>32.04919666666663</v>
      </c>
      <c r="AE51" s="58">
        <f t="shared" si="25"/>
        <v>53.66666666666668</v>
      </c>
      <c r="AF51" s="58">
        <f t="shared" si="26"/>
        <v>50</v>
      </c>
      <c r="AG51" s="58">
        <f t="shared" si="2"/>
        <v>2480</v>
      </c>
      <c r="AH51" s="58">
        <f>IF(V52=1,AG50*H$15*20/36000+AG51*H$15*10/36000,IF(V52=0,IF(V51=0,0,AG51*H$15*AB$16/36000+AG50*H$15*20/36000+AG51*H$15*10/36000)))</f>
        <v>33.98888888888889</v>
      </c>
      <c r="AI51" s="58">
        <f t="shared" si="27"/>
        <v>33.98888888888889</v>
      </c>
      <c r="AJ51" s="58">
        <f>IF(Z52=0,Z51*AB16,(Z50*20+Z51*10))</f>
        <v>71662.79999999992</v>
      </c>
      <c r="AK51" s="58"/>
      <c r="AL51" s="58">
        <f t="shared" si="3"/>
        <v>0</v>
      </c>
      <c r="AM51" s="58">
        <f t="shared" si="4"/>
        <v>0</v>
      </c>
      <c r="AN51" s="58">
        <f t="shared" si="28"/>
        <v>0</v>
      </c>
      <c r="AO51" s="58">
        <f t="shared" si="5"/>
        <v>0</v>
      </c>
      <c r="AP51" s="58">
        <f t="shared" si="29"/>
        <v>0</v>
      </c>
      <c r="AQ51" s="58">
        <f t="shared" si="6"/>
        <v>0</v>
      </c>
      <c r="AR51" s="58">
        <f t="shared" si="7"/>
        <v>2333.199999999997</v>
      </c>
      <c r="AS51" s="58">
        <f>IF(V52=1,AR50*K16*20/36000+AR51*K16*10/36000,IF(V52=0,IF(V51=0,0,AR51*K16*AB16/36000+AR50*K16*20/36000+AR51*K16*10/36000)))</f>
        <v>0</v>
      </c>
      <c r="AT51" s="58">
        <f>IF(V52=1,AR50*K16*20/36000+AR51*K16*10/36000,IF(V52=0,IF(V51=0,0,AR51*K16*AB16/36000+AR50*K16*20/36000+AR51*K16*10/36000)))</f>
        <v>0</v>
      </c>
      <c r="AU51" s="59">
        <f t="shared" si="30"/>
        <v>4</v>
      </c>
      <c r="AV51" s="59">
        <f t="shared" si="8"/>
        <v>4</v>
      </c>
      <c r="AW51" s="16">
        <f t="shared" si="31"/>
        <v>2020</v>
      </c>
      <c r="AX51" s="16">
        <f t="shared" si="9"/>
        <v>2020</v>
      </c>
      <c r="AY51" s="16">
        <f t="shared" si="10"/>
        <v>1</v>
      </c>
      <c r="AZ51" s="16">
        <f t="shared" si="11"/>
        <v>30</v>
      </c>
      <c r="BA51" s="16">
        <f t="shared" si="12"/>
        <v>20</v>
      </c>
      <c r="BB51" s="16">
        <f t="shared" si="32"/>
        <v>30</v>
      </c>
      <c r="BC51" s="16"/>
      <c r="BD51" s="16"/>
      <c r="BE51" s="16"/>
      <c r="BF51" s="16"/>
      <c r="BG51" s="16"/>
      <c r="BH51" s="16">
        <f t="shared" si="13"/>
        <v>0</v>
      </c>
      <c r="BI51" s="16"/>
      <c r="BJ51" s="16">
        <f t="shared" si="33"/>
        <v>230.77839333333327</v>
      </c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7"/>
      <c r="BV51" s="17"/>
      <c r="BW51" s="17"/>
      <c r="BX51" s="17"/>
      <c r="BY51" s="17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</row>
    <row r="52" spans="1:150" s="5" customFormat="1" ht="15" customHeight="1">
      <c r="A52" s="11"/>
      <c r="B52" s="11"/>
      <c r="C52" s="60">
        <f t="shared" si="14"/>
        <v>22</v>
      </c>
      <c r="D52" s="60"/>
      <c r="E52" s="60"/>
      <c r="F52" s="169">
        <f t="shared" si="35"/>
        <v>43971</v>
      </c>
      <c r="G52" s="170"/>
      <c r="H52" s="216">
        <f>IF(V52=0,IF(V51=1,H31+H32+H33+H34+H35+H36+H37+H38+H39+H40+H41+H42+H43+H44+H45+H46+H47+H48+H49+H50+H51," "),IF(V52=0," ",IF(V53=1,H31,IF(V53=0,H14-H31*(X18-1)," "))))</f>
        <v>83.34</v>
      </c>
      <c r="I52" s="216"/>
      <c r="J52" s="151">
        <f>IF(V52=0,IF(V51=1,J31+J32+J33+J34+J35+J36+J37+J38+J39+J40+J41+J42+J43+J44+J45+J46+J47+J48+J49+J50+J51," "),IF(U1=1,X52,IF(U1=2,Y52," ")))</f>
        <v>30.93105166666663</v>
      </c>
      <c r="K52" s="151">
        <f>IF(V52=0,IF(V51=1," "," "),IF(U1=1,0,IF(U1=2,0," ")))</f>
        <v>0</v>
      </c>
      <c r="L52" s="151">
        <f t="shared" si="16"/>
        <v>114.27105166666664</v>
      </c>
      <c r="M52" s="21"/>
      <c r="N52" s="120"/>
      <c r="O52" s="120"/>
      <c r="P52" s="120"/>
      <c r="Q52" s="135">
        <f t="shared" si="17"/>
        <v>80</v>
      </c>
      <c r="R52" s="135">
        <f t="shared" si="0"/>
        <v>32.91555555555556</v>
      </c>
      <c r="S52" s="135">
        <v>0</v>
      </c>
      <c r="T52" s="135">
        <f t="shared" si="18"/>
        <v>112.91555555555556</v>
      </c>
      <c r="U52" s="29">
        <f t="shared" si="19"/>
        <v>22</v>
      </c>
      <c r="V52" s="16">
        <f>IF(U1=1,IF(X18&gt;21,1,0),IF(U1=2,IF(X18&gt;21,1,0),0))</f>
        <v>1</v>
      </c>
      <c r="W52" s="16">
        <f t="shared" si="1"/>
        <v>20</v>
      </c>
      <c r="X52" s="58">
        <f t="shared" si="20"/>
        <v>30.93105166666663</v>
      </c>
      <c r="Y52" s="58">
        <f t="shared" si="21"/>
        <v>30.93105166666663</v>
      </c>
      <c r="Z52" s="58">
        <f t="shared" si="22"/>
        <v>2249.859999999997</v>
      </c>
      <c r="AA52" s="58">
        <f t="shared" si="23"/>
        <v>83.34</v>
      </c>
      <c r="AB52" s="58">
        <f t="shared" si="24"/>
        <v>80</v>
      </c>
      <c r="AC52" s="58">
        <f>IF(V53=1,Z51*H15*20/36000+Z52*H15*10/36000,IF(V53=0,IF(V52=0,0,Z52*H15*AB16/36000+Z51*H15*20/36000+Z52*H15*10/36000)))</f>
        <v>30.93105166666663</v>
      </c>
      <c r="AD52" s="58">
        <f>IF(V53=1,Z51*H15*20/36000+Z52*H15*10/36000,IF(V53=0,IF(V52=0,0,Z52*H15*AB16/36000+Z51*H15*20/36000+Z52*H15*10/36000)))</f>
        <v>30.93105166666663</v>
      </c>
      <c r="AE52" s="58">
        <f t="shared" si="25"/>
        <v>53.66666666666668</v>
      </c>
      <c r="AF52" s="58">
        <f t="shared" si="26"/>
        <v>50</v>
      </c>
      <c r="AG52" s="58">
        <f t="shared" si="2"/>
        <v>2400</v>
      </c>
      <c r="AH52" s="58">
        <f>IF(V53=1,AG51*H$15*20/36000+AG52*H$15*10/36000,IF(V53=0,IF(V52=0,0,AG52*H$15*AB$16/36000+AG51*H$15*20/36000+AG52*H$15*10/36000)))</f>
        <v>32.91555555555556</v>
      </c>
      <c r="AI52" s="58">
        <f t="shared" si="27"/>
        <v>32.91555555555556</v>
      </c>
      <c r="AJ52" s="58">
        <f>IF(Z53=0,Z52*AB16,(Z51*20+Z52*10))</f>
        <v>69162.59999999992</v>
      </c>
      <c r="AK52" s="58"/>
      <c r="AL52" s="58">
        <f t="shared" si="3"/>
        <v>0</v>
      </c>
      <c r="AM52" s="58">
        <f t="shared" si="4"/>
        <v>0</v>
      </c>
      <c r="AN52" s="58">
        <f t="shared" si="28"/>
        <v>0</v>
      </c>
      <c r="AO52" s="58">
        <f t="shared" si="5"/>
        <v>0</v>
      </c>
      <c r="AP52" s="58">
        <f t="shared" si="29"/>
        <v>0</v>
      </c>
      <c r="AQ52" s="58">
        <f t="shared" si="6"/>
        <v>0</v>
      </c>
      <c r="AR52" s="58">
        <f t="shared" si="7"/>
        <v>2249.859999999997</v>
      </c>
      <c r="AS52" s="58">
        <f>IF(V53=1,AR51*K16*20/36000+AR52*K16*10/36000,IF(V53=0,IF(V52=0,0,AR52*K16*AB16/36000+AR51*K16*20/36000+AR52*K16*10/36000)))</f>
        <v>0</v>
      </c>
      <c r="AT52" s="58">
        <f>IF(V53=1,AR51*K16*20/36000+AR52*K16*10/36000,IF(V53=0,IF(V52=0,0,AR52*K16*AB16/36000+AR51*K16*20/36000+AR52*K16*10/36000)))</f>
        <v>0</v>
      </c>
      <c r="AU52" s="59">
        <f t="shared" si="30"/>
        <v>5</v>
      </c>
      <c r="AV52" s="59">
        <f t="shared" si="8"/>
        <v>5</v>
      </c>
      <c r="AW52" s="16">
        <f t="shared" si="31"/>
        <v>2020</v>
      </c>
      <c r="AX52" s="16">
        <f t="shared" si="9"/>
        <v>2020</v>
      </c>
      <c r="AY52" s="16">
        <f t="shared" si="10"/>
        <v>1</v>
      </c>
      <c r="AZ52" s="16">
        <f t="shared" si="11"/>
        <v>30</v>
      </c>
      <c r="BA52" s="16">
        <f t="shared" si="12"/>
        <v>20</v>
      </c>
      <c r="BB52" s="16">
        <f t="shared" si="32"/>
        <v>30</v>
      </c>
      <c r="BC52" s="16"/>
      <c r="BD52" s="16"/>
      <c r="BE52" s="16"/>
      <c r="BF52" s="16"/>
      <c r="BG52" s="16"/>
      <c r="BH52" s="16">
        <f t="shared" si="13"/>
        <v>0</v>
      </c>
      <c r="BI52" s="16"/>
      <c r="BJ52" s="16">
        <f t="shared" si="33"/>
        <v>228.54210333333327</v>
      </c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7"/>
      <c r="BV52" s="17"/>
      <c r="BW52" s="17"/>
      <c r="BX52" s="17"/>
      <c r="BY52" s="17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</row>
    <row r="53" spans="1:150" s="5" customFormat="1" ht="15" customHeight="1">
      <c r="A53" s="11"/>
      <c r="B53" s="11"/>
      <c r="C53" s="60">
        <f t="shared" si="14"/>
        <v>23</v>
      </c>
      <c r="D53" s="60"/>
      <c r="E53" s="60"/>
      <c r="F53" s="169">
        <f t="shared" si="35"/>
        <v>44002</v>
      </c>
      <c r="G53" s="170"/>
      <c r="H53" s="216">
        <f>IF(V53=0,IF(V52=1,H31+H32+H33+H34+H35+H36+H37+H38+H39+H40+H41+H42+H43+H44+H45+H46+H47+H48+H49+H50+H51+H52," "),IF(V53=0," ",IF(V54=1,H31,IF(V54=0,H14-H31*(X18-1)," "))))</f>
        <v>83.34</v>
      </c>
      <c r="I53" s="216"/>
      <c r="J53" s="151">
        <f>IF(V53=0,IF(V52=1,J31+J32+J33+J34+J35+J36+J37+J38+J39+J40+J41+J42+J43+J44+J45+J46+J47+J48+J49+J50+J51+J52," "),IF(U1=1,X53,IF(U1=2,Y53," ")))</f>
        <v>29.812906666666628</v>
      </c>
      <c r="K53" s="151">
        <f>IF(V53=0,IF(V52=1," "," "),IF(U1=1,0,IF(U1=2,0," ")))</f>
        <v>0</v>
      </c>
      <c r="L53" s="151">
        <f t="shared" si="16"/>
        <v>113.15290666666664</v>
      </c>
      <c r="M53" s="21"/>
      <c r="N53" s="120"/>
      <c r="O53" s="120"/>
      <c r="P53" s="120"/>
      <c r="Q53" s="135">
        <f t="shared" si="17"/>
        <v>80</v>
      </c>
      <c r="R53" s="135">
        <f t="shared" si="0"/>
        <v>31.84222222222222</v>
      </c>
      <c r="S53" s="135">
        <v>0</v>
      </c>
      <c r="T53" s="135">
        <f t="shared" si="18"/>
        <v>111.84222222222222</v>
      </c>
      <c r="U53" s="29">
        <f t="shared" si="19"/>
        <v>23</v>
      </c>
      <c r="V53" s="16">
        <f>IF(U1=1,IF(X18&gt;22,1,0),IF(U1=2,IF(X18&gt;22,1,0),0))</f>
        <v>1</v>
      </c>
      <c r="W53" s="16">
        <f t="shared" si="1"/>
        <v>20</v>
      </c>
      <c r="X53" s="58">
        <f t="shared" si="20"/>
        <v>29.812906666666628</v>
      </c>
      <c r="Y53" s="58">
        <f t="shared" si="21"/>
        <v>29.812906666666628</v>
      </c>
      <c r="Z53" s="58">
        <f t="shared" si="22"/>
        <v>2166.519999999997</v>
      </c>
      <c r="AA53" s="58">
        <f t="shared" si="23"/>
        <v>83.34</v>
      </c>
      <c r="AB53" s="58">
        <f t="shared" si="24"/>
        <v>80</v>
      </c>
      <c r="AC53" s="58">
        <f>IF(V54=1,Z52*H15*20/36000+Z53*H15*10/36000,IF(V54=0,IF(V53=0,0,Z53*H15*AB16/36000+Z52*H15*20/36000+Z53*H15*10/36000)))</f>
        <v>29.812906666666628</v>
      </c>
      <c r="AD53" s="58">
        <f>IF(V54=1,Z52*H15*20/36000+Z53*H15*10/36000,IF(V54=0,IF(V53=0,0,Z53*H15*AB16/36000+Z52*H15*20/36000+Z53*H15*10/36000)))</f>
        <v>29.812906666666628</v>
      </c>
      <c r="AE53" s="58">
        <f t="shared" si="25"/>
        <v>53.66666666666668</v>
      </c>
      <c r="AF53" s="58">
        <f t="shared" si="26"/>
        <v>50</v>
      </c>
      <c r="AG53" s="58">
        <f t="shared" si="2"/>
        <v>2320</v>
      </c>
      <c r="AH53" s="58">
        <f>IF(V54=1,AG52*H$15*20/36000+AG53*H$15*10/36000,IF(V54=0,IF(V53=0,0,AG53*H$15*AB$16/36000+AG52*H$15*20/36000+AG53*H$15*10/36000)))</f>
        <v>31.84222222222222</v>
      </c>
      <c r="AI53" s="58">
        <f t="shared" si="27"/>
        <v>31.84222222222222</v>
      </c>
      <c r="AJ53" s="58">
        <f>IF(Z54=0,Z53*AB16,(Z52*20+Z53*10))</f>
        <v>66662.3999999999</v>
      </c>
      <c r="AK53" s="58"/>
      <c r="AL53" s="58">
        <f t="shared" si="3"/>
        <v>0</v>
      </c>
      <c r="AM53" s="58">
        <f t="shared" si="4"/>
        <v>0</v>
      </c>
      <c r="AN53" s="58">
        <f t="shared" si="28"/>
        <v>0</v>
      </c>
      <c r="AO53" s="58">
        <f t="shared" si="5"/>
        <v>0</v>
      </c>
      <c r="AP53" s="58">
        <f t="shared" si="29"/>
        <v>0</v>
      </c>
      <c r="AQ53" s="58">
        <f t="shared" si="6"/>
        <v>0</v>
      </c>
      <c r="AR53" s="58">
        <f t="shared" si="7"/>
        <v>2166.519999999997</v>
      </c>
      <c r="AS53" s="58">
        <f>IF(V54=1,AR52*K16*20/36000+AR53*K16*10/36000,IF(V54=0,IF(V53=0,0,AR53*K16*AB16/36000+AR52*K16*20/36000+AR53*K16*10/36000)))</f>
        <v>0</v>
      </c>
      <c r="AT53" s="58">
        <f>IF(V54=1,AR52*K16*20/36000+AR53*K16*10/36000,IF(V54=0,IF(V53=0,0,AR53*K16*AB16/36000+AR52*K16*20/36000+AR53*K16*10/36000)))</f>
        <v>0</v>
      </c>
      <c r="AU53" s="59">
        <f t="shared" si="30"/>
        <v>6</v>
      </c>
      <c r="AV53" s="59">
        <f t="shared" si="8"/>
        <v>6</v>
      </c>
      <c r="AW53" s="16">
        <f t="shared" si="31"/>
        <v>2020</v>
      </c>
      <c r="AX53" s="16">
        <f t="shared" si="9"/>
        <v>2020</v>
      </c>
      <c r="AY53" s="16">
        <f t="shared" si="10"/>
        <v>1</v>
      </c>
      <c r="AZ53" s="16">
        <f t="shared" si="11"/>
        <v>30</v>
      </c>
      <c r="BA53" s="16">
        <f t="shared" si="12"/>
        <v>20</v>
      </c>
      <c r="BB53" s="16">
        <f t="shared" si="32"/>
        <v>30</v>
      </c>
      <c r="BC53" s="16"/>
      <c r="BD53" s="16"/>
      <c r="BE53" s="16"/>
      <c r="BF53" s="16"/>
      <c r="BG53" s="16"/>
      <c r="BH53" s="16">
        <f t="shared" si="13"/>
        <v>0</v>
      </c>
      <c r="BI53" s="16"/>
      <c r="BJ53" s="16">
        <f t="shared" si="33"/>
        <v>226.30581333333328</v>
      </c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7"/>
      <c r="BV53" s="17"/>
      <c r="BW53" s="17"/>
      <c r="BX53" s="17"/>
      <c r="BY53" s="17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</row>
    <row r="54" spans="1:150" s="5" customFormat="1" ht="15" customHeight="1">
      <c r="A54" s="11"/>
      <c r="B54" s="11"/>
      <c r="C54" s="60">
        <f t="shared" si="14"/>
        <v>24</v>
      </c>
      <c r="D54" s="60"/>
      <c r="E54" s="60"/>
      <c r="F54" s="169">
        <f t="shared" si="35"/>
        <v>44032</v>
      </c>
      <c r="G54" s="170"/>
      <c r="H54" s="216">
        <f>IF(V54=0,IF(V53=1,SUM(H$31:I53)," "),IF(V54=0," ",IF(V55=1,H$31,IF(V55=0,H$14-H$31*(X$18-1)," "))))</f>
        <v>83.34</v>
      </c>
      <c r="I54" s="216"/>
      <c r="J54" s="151">
        <f>IF(V54=0,IF(V53=1,SUM(J$31:J53)," "),IF(U$1=1,X54,IF(U$1=2,Y54," ")))</f>
        <v>28.694761666666622</v>
      </c>
      <c r="K54" s="151">
        <f>IF(V54=0,IF(V53=1," "," "),IF(U1=1,0,IF(U1=2,0," ")))</f>
        <v>0</v>
      </c>
      <c r="L54" s="151">
        <f t="shared" si="16"/>
        <v>112.03476166666663</v>
      </c>
      <c r="M54" s="21"/>
      <c r="N54" s="120"/>
      <c r="O54" s="120"/>
      <c r="P54" s="120"/>
      <c r="Q54" s="135">
        <f t="shared" si="17"/>
        <v>80</v>
      </c>
      <c r="R54" s="135">
        <f t="shared" si="0"/>
        <v>30.76888888888889</v>
      </c>
      <c r="S54" s="135">
        <v>0</v>
      </c>
      <c r="T54" s="135">
        <f t="shared" si="18"/>
        <v>110.76888888888888</v>
      </c>
      <c r="U54" s="29">
        <f t="shared" si="19"/>
        <v>24</v>
      </c>
      <c r="V54" s="16">
        <f aca="true" t="shared" si="36" ref="V54:V91">IF(U$1=1,IF(X$18&gt;U53,1,0),IF(U$1=2,IF(X$18&gt;U53,1,0),0))</f>
        <v>1</v>
      </c>
      <c r="W54" s="16">
        <f t="shared" si="1"/>
        <v>20</v>
      </c>
      <c r="X54" s="58">
        <f t="shared" si="20"/>
        <v>28.694761666666622</v>
      </c>
      <c r="Y54" s="58">
        <f t="shared" si="21"/>
        <v>28.694761666666622</v>
      </c>
      <c r="Z54" s="58">
        <f t="shared" si="22"/>
        <v>2083.1799999999967</v>
      </c>
      <c r="AA54" s="58">
        <f t="shared" si="23"/>
        <v>83.34</v>
      </c>
      <c r="AB54" s="58">
        <f t="shared" si="24"/>
        <v>80</v>
      </c>
      <c r="AC54" s="58">
        <f>IF(V55=1,Z53*H$15*20/36000+Z54*H$15*10/36000,IF(V55=0,IF(V54=0,0,Z54*H$15*AB$16/36000+Z53*H$15*20/36000+Z54*H$15*10/36000)))</f>
        <v>28.694761666666622</v>
      </c>
      <c r="AD54" s="58">
        <f>IF(V55=1,Z53*H$15*20/36000+Z54*H$15*10/36000,IF(V55=0,IF(V54=0,0,Z54*H$15*AB$16/36000+Z53*H$15*20/36000+Z54*H$15*10/36000)))</f>
        <v>28.694761666666622</v>
      </c>
      <c r="AE54" s="58">
        <f t="shared" si="25"/>
        <v>53.66666666666668</v>
      </c>
      <c r="AF54" s="58">
        <f t="shared" si="26"/>
        <v>50</v>
      </c>
      <c r="AG54" s="58">
        <f t="shared" si="2"/>
        <v>2240</v>
      </c>
      <c r="AH54" s="58">
        <f>IF(V55=1,AG53*H$15*20/36000+AG54*H$15*10/36000,IF(V55=0,IF(V54=0,0,AG54*H$15*AB$16/36000+AG53*H$15*20/36000+AG54*H$15*10/36000)))</f>
        <v>30.76888888888889</v>
      </c>
      <c r="AI54" s="58">
        <f t="shared" si="27"/>
        <v>30.76888888888889</v>
      </c>
      <c r="AJ54" s="58">
        <f aca="true" t="shared" si="37" ref="AJ54:AJ90">IF(Z55=0,Z54*AB$16,(Z53*20+Z54*10))</f>
        <v>64162.1999999999</v>
      </c>
      <c r="AK54" s="58"/>
      <c r="AL54" s="58">
        <f t="shared" si="3"/>
        <v>0</v>
      </c>
      <c r="AM54" s="58">
        <f t="shared" si="4"/>
        <v>0</v>
      </c>
      <c r="AN54" s="58">
        <f t="shared" si="28"/>
        <v>0</v>
      </c>
      <c r="AO54" s="58">
        <f t="shared" si="5"/>
        <v>0</v>
      </c>
      <c r="AP54" s="58">
        <f t="shared" si="29"/>
        <v>0</v>
      </c>
      <c r="AQ54" s="58">
        <f t="shared" si="6"/>
        <v>0</v>
      </c>
      <c r="AR54" s="58">
        <f t="shared" si="7"/>
        <v>2083.1799999999967</v>
      </c>
      <c r="AS54" s="58">
        <f>IF(V55=1,AR53*K$16*20/36000+AR54*K$16*10/36000,IF(V55=0,IF(V54=0,0,AR54*K$16*AB$16/36000+AR53*K$16*20/36000+AR54*K$16*10/36000)))</f>
        <v>0</v>
      </c>
      <c r="AT54" s="58">
        <f>IF(V55=1,AR53*K$16*20/36000+AR54*K$16*10/36000,IF(V55=0,IF(V54=0,0,AR54*K$16*AB$16/36000+AR53*K$16*20/36000+AR54*K$16*10/36000)))</f>
        <v>0</v>
      </c>
      <c r="AU54" s="59">
        <f t="shared" si="30"/>
        <v>7</v>
      </c>
      <c r="AV54" s="59">
        <f t="shared" si="8"/>
        <v>7</v>
      </c>
      <c r="AW54" s="16">
        <f t="shared" si="31"/>
        <v>2020</v>
      </c>
      <c r="AX54" s="16">
        <f t="shared" si="9"/>
        <v>2020</v>
      </c>
      <c r="AY54" s="16">
        <f t="shared" si="10"/>
        <v>1</v>
      </c>
      <c r="AZ54" s="16">
        <f t="shared" si="11"/>
        <v>30</v>
      </c>
      <c r="BA54" s="16">
        <f t="shared" si="12"/>
        <v>20</v>
      </c>
      <c r="BB54" s="16">
        <f t="shared" si="32"/>
        <v>30</v>
      </c>
      <c r="BC54" s="16"/>
      <c r="BD54" s="16"/>
      <c r="BE54" s="16"/>
      <c r="BF54" s="16"/>
      <c r="BG54" s="16"/>
      <c r="BH54" s="16">
        <f t="shared" si="13"/>
        <v>0</v>
      </c>
      <c r="BI54" s="16"/>
      <c r="BJ54" s="16">
        <f t="shared" si="33"/>
        <v>224.06952333333325</v>
      </c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7"/>
      <c r="BV54" s="17"/>
      <c r="BW54" s="17"/>
      <c r="BX54" s="17"/>
      <c r="BY54" s="17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</row>
    <row r="55" spans="1:150" s="8" customFormat="1" ht="15" customHeight="1">
      <c r="A55" s="11"/>
      <c r="B55" s="11"/>
      <c r="C55" s="60">
        <v>25</v>
      </c>
      <c r="D55" s="60"/>
      <c r="E55" s="60"/>
      <c r="F55" s="213">
        <f>IF(V55=0,IF(V54=1,"ИТОГО"," "),IF(C$18=H$18+1,IF(U55=C$18,IF(MONTH(F54)=2,IF(DAY(H$21)&gt;29,DATE(YEAR(F54),MONTH(F54),BB55),DATE(YEAR(F54),MONTH(F54),W55)),DATE(YEAR(F54),MONTH(F54),W55)),DATE(YEAR(F54),MONTH(F54)+1,W55)),DATE(YEAR(F54),MONTH(F54)+1,W55)))</f>
        <v>44063</v>
      </c>
      <c r="G55" s="214"/>
      <c r="H55" s="217">
        <f>IF(V55=0,IF(V54=1,SUM(H$31:I54)," "),IF(V55=0," ",IF(V56=1,H$31,IF(V56=0,H$14-H$31*(X$18-1)," "))))</f>
        <v>83.34</v>
      </c>
      <c r="I55" s="217"/>
      <c r="J55" s="152">
        <f>IF(V55=0,IF(V54=1,SUM(J$31:J54)," "),IF(U$1=1,X55,IF(U$1=2,Y55," ")))</f>
        <v>27.576616666666624</v>
      </c>
      <c r="K55" s="152">
        <f>IF(V55=0,IF(V54=1," "," "),IF(U1=1,0,IF(U1=2,0," ")))</f>
        <v>0</v>
      </c>
      <c r="L55" s="152">
        <f t="shared" si="16"/>
        <v>110.91661666666663</v>
      </c>
      <c r="M55" s="21"/>
      <c r="N55" s="120"/>
      <c r="O55" s="120"/>
      <c r="P55" s="120"/>
      <c r="Q55" s="135">
        <f t="shared" si="17"/>
        <v>80</v>
      </c>
      <c r="R55" s="135">
        <f t="shared" si="0"/>
        <v>29.695555555555554</v>
      </c>
      <c r="S55" s="135">
        <v>0</v>
      </c>
      <c r="T55" s="135">
        <f t="shared" si="18"/>
        <v>109.69555555555556</v>
      </c>
      <c r="U55" s="29">
        <v>25</v>
      </c>
      <c r="V55" s="16">
        <f t="shared" si="36"/>
        <v>1</v>
      </c>
      <c r="W55" s="16">
        <f t="shared" si="1"/>
        <v>20</v>
      </c>
      <c r="X55" s="58">
        <f t="shared" si="20"/>
        <v>27.576616666666624</v>
      </c>
      <c r="Y55" s="58">
        <f t="shared" si="21"/>
        <v>27.576616666666624</v>
      </c>
      <c r="Z55" s="58">
        <f t="shared" si="22"/>
        <v>1999.8399999999967</v>
      </c>
      <c r="AA55" s="58">
        <f t="shared" si="23"/>
        <v>83.34</v>
      </c>
      <c r="AB55" s="58">
        <f t="shared" si="24"/>
        <v>80</v>
      </c>
      <c r="AC55" s="58">
        <f>IF(V56=1,Z54*H$15*20/36000+Z55*H$15*10/36000,IF(V56=0,IF(V55=0,0,IF(H$21&gt;20,Z54*H$15*20/36000+Z55*H$15*(AB$16-20)/36000,Z55*H$15*AB$16/36000))))</f>
        <v>27.576616666666624</v>
      </c>
      <c r="AD55" s="58">
        <f>IF(V56=1,Z54*H$15*20/36000+Z55*H$15*10/36000,IF(V56=0,IF(V55=0,0,IF(H$21&gt;20,Z54*H$15*20/36000+Z55*H$15*(AB$16-20)/36000,Z55*H$15*AB$16/36000))))</f>
        <v>27.576616666666624</v>
      </c>
      <c r="AE55" s="58">
        <f t="shared" si="25"/>
        <v>53.66666666666668</v>
      </c>
      <c r="AF55" s="58">
        <f t="shared" si="26"/>
        <v>50</v>
      </c>
      <c r="AG55" s="58">
        <f t="shared" si="2"/>
        <v>2160</v>
      </c>
      <c r="AH55" s="58">
        <f>IF(V56=1,AG54*H$15*20/36000+AG55*H$15*10/36000,IF(V56=0,IF(V55=0,0,IF(H$21&gt;20,AG54*H$15*20/36000+AG55*H$15*(AB$16-20)/36000,AG55*H$15*AB$16/36000))))</f>
        <v>29.695555555555554</v>
      </c>
      <c r="AI55" s="58">
        <f t="shared" si="27"/>
        <v>29.695555555555554</v>
      </c>
      <c r="AJ55" s="58">
        <f t="shared" si="37"/>
        <v>61661.9999999999</v>
      </c>
      <c r="AK55" s="58"/>
      <c r="AL55" s="58">
        <f t="shared" si="3"/>
        <v>0</v>
      </c>
      <c r="AM55" s="58">
        <f t="shared" si="4"/>
        <v>0</v>
      </c>
      <c r="AN55" s="58">
        <f t="shared" si="28"/>
        <v>0</v>
      </c>
      <c r="AO55" s="58">
        <f t="shared" si="5"/>
        <v>0</v>
      </c>
      <c r="AP55" s="58">
        <f t="shared" si="29"/>
        <v>0</v>
      </c>
      <c r="AQ55" s="58">
        <f t="shared" si="6"/>
        <v>0</v>
      </c>
      <c r="AR55" s="58">
        <f t="shared" si="7"/>
        <v>1999.8399999999967</v>
      </c>
      <c r="AS55" s="58">
        <f>IF(V56=1,AR54*K$16*20/36000+AR55*K$16*10/36000,IF(V56=0,IF(V55=0,0,AR55*K$16*AB$16/36000)))</f>
        <v>0</v>
      </c>
      <c r="AT55" s="58">
        <f>IF(V56=1,AR54*K$16*20/36000+AR55*K$16*10/36000,IF(V56=0,IF(V55=0,0,AR55*K$16*AB$16/36000)))</f>
        <v>0</v>
      </c>
      <c r="AU55" s="59">
        <f t="shared" si="30"/>
        <v>8</v>
      </c>
      <c r="AV55" s="59">
        <f t="shared" si="8"/>
        <v>8</v>
      </c>
      <c r="AW55" s="16">
        <f t="shared" si="31"/>
        <v>2020</v>
      </c>
      <c r="AX55" s="16">
        <f t="shared" si="9"/>
        <v>2020</v>
      </c>
      <c r="AY55" s="16">
        <f t="shared" si="10"/>
        <v>1</v>
      </c>
      <c r="AZ55" s="16">
        <f t="shared" si="11"/>
        <v>30</v>
      </c>
      <c r="BA55" s="16">
        <f t="shared" si="12"/>
        <v>20</v>
      </c>
      <c r="BB55" s="16">
        <f t="shared" si="32"/>
        <v>30</v>
      </c>
      <c r="BC55" s="16"/>
      <c r="BD55" s="16"/>
      <c r="BE55" s="16"/>
      <c r="BF55" s="16"/>
      <c r="BG55" s="16"/>
      <c r="BH55" s="16">
        <f t="shared" si="13"/>
        <v>0</v>
      </c>
      <c r="BI55" s="16"/>
      <c r="BJ55" s="16">
        <f t="shared" si="33"/>
        <v>221.83323333333325</v>
      </c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7"/>
      <c r="BV55" s="17"/>
      <c r="BW55" s="17"/>
      <c r="BX55" s="17"/>
      <c r="BY55" s="17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</row>
    <row r="56" spans="1:150" s="5" customFormat="1" ht="15" customHeight="1">
      <c r="A56" s="11"/>
      <c r="B56" s="11"/>
      <c r="C56" s="60">
        <v>26</v>
      </c>
      <c r="D56" s="60"/>
      <c r="E56" s="60"/>
      <c r="F56" s="213">
        <f>IF(V56=0,IF(V55=1,"ИТОГО"," "),IF(C$18=H$18+1,IF(U56=C$18,IF(MONTH(F55)=2,IF(DAY(H$21)&gt;29,DATE(YEAR(F55),MONTH(F55),BB56),DATE(YEAR(F55),MONTH(F55),W56)),DATE(YEAR(F55),MONTH(F55),W56)),DATE(YEAR(F55),MONTH(F55)+1,W56)),DATE(YEAR(F55),MONTH(F55)+1,W56)))</f>
        <v>44094</v>
      </c>
      <c r="G56" s="214"/>
      <c r="H56" s="217">
        <f>IF(V56=0,IF(V55=1,SUM(H$31:I55)," "),IF(V56=0," ",IF(V57=1,H$31,IF(V57=0,H$14-H$31*(X$18-1)," "))))</f>
        <v>83.34</v>
      </c>
      <c r="I56" s="217"/>
      <c r="J56" s="152">
        <f>IF(V56=0,IF(V55=1,SUM(J$31:J55)," "),IF(U$1=1,X56,IF(U$1=2,Y56," ")))</f>
        <v>26.458471666666625</v>
      </c>
      <c r="K56" s="152">
        <f>IF(V56=0,IF(V55=1," "," "),IF(U1=1,0,IF(U1=2,0," ")))</f>
        <v>0</v>
      </c>
      <c r="L56" s="152">
        <f t="shared" si="16"/>
        <v>109.79847166666663</v>
      </c>
      <c r="M56" s="21"/>
      <c r="N56" s="120"/>
      <c r="O56" s="120"/>
      <c r="P56" s="120"/>
      <c r="Q56" s="135">
        <f t="shared" si="17"/>
        <v>80</v>
      </c>
      <c r="R56" s="135">
        <f t="shared" si="0"/>
        <v>28.62222222222222</v>
      </c>
      <c r="S56" s="135">
        <v>0</v>
      </c>
      <c r="T56" s="135">
        <f t="shared" si="18"/>
        <v>108.62222222222222</v>
      </c>
      <c r="U56" s="16">
        <v>26</v>
      </c>
      <c r="V56" s="16">
        <f t="shared" si="36"/>
        <v>1</v>
      </c>
      <c r="W56" s="16">
        <f t="shared" si="1"/>
        <v>20</v>
      </c>
      <c r="X56" s="58">
        <f t="shared" si="20"/>
        <v>26.458471666666625</v>
      </c>
      <c r="Y56" s="58">
        <f t="shared" si="21"/>
        <v>26.458471666666625</v>
      </c>
      <c r="Z56" s="58">
        <f t="shared" si="22"/>
        <v>1916.4999999999968</v>
      </c>
      <c r="AA56" s="58">
        <f t="shared" si="23"/>
        <v>83.34</v>
      </c>
      <c r="AB56" s="58">
        <f t="shared" si="24"/>
        <v>80</v>
      </c>
      <c r="AC56" s="58">
        <f aca="true" t="shared" si="38" ref="AC56:AC66">IF(V57=1,Z55*H$15*20/36000+Z56*H$15*10/36000,IF(V57=0,IF(V56=0,0,Z56*H$15*AB$16/36000+Z55*H$15*20/36000+Z56*H$15*10/36000)))</f>
        <v>26.458471666666625</v>
      </c>
      <c r="AD56" s="58">
        <f aca="true" t="shared" si="39" ref="AD56:AD66">IF(V57=1,Z55*H$15*20/36000+Z56*H$15*10/36000,IF(V57=0,IF(V56=0,0,Z56*H$15*AB$16/36000+Z55*H$15*20/36000+Z56*H$15*10/36000)))</f>
        <v>26.458471666666625</v>
      </c>
      <c r="AE56" s="58">
        <f t="shared" si="25"/>
        <v>53.66666666666668</v>
      </c>
      <c r="AF56" s="58">
        <f t="shared" si="26"/>
        <v>50</v>
      </c>
      <c r="AG56" s="58">
        <f t="shared" si="2"/>
        <v>2080</v>
      </c>
      <c r="AH56" s="58">
        <f aca="true" t="shared" si="40" ref="AH56:AH66">IF(V57=1,AG55*H$15*20/36000+AG56*H$15*10/36000,IF(V57=0,IF(V56=0,0,AG56*H$15*AB$16/36000+AG55*H$15*20/36000+AG56*H$15*10/36000)))</f>
        <v>28.62222222222222</v>
      </c>
      <c r="AI56" s="58">
        <f t="shared" si="27"/>
        <v>28.62222222222222</v>
      </c>
      <c r="AJ56" s="58">
        <f t="shared" si="37"/>
        <v>59161.7999999999</v>
      </c>
      <c r="AK56" s="58"/>
      <c r="AL56" s="58">
        <f t="shared" si="3"/>
        <v>0</v>
      </c>
      <c r="AM56" s="58">
        <f t="shared" si="4"/>
        <v>0</v>
      </c>
      <c r="AN56" s="58">
        <f t="shared" si="28"/>
        <v>0</v>
      </c>
      <c r="AO56" s="58">
        <f t="shared" si="5"/>
        <v>0</v>
      </c>
      <c r="AP56" s="58">
        <f t="shared" si="29"/>
        <v>0</v>
      </c>
      <c r="AQ56" s="58">
        <f t="shared" si="6"/>
        <v>0</v>
      </c>
      <c r="AR56" s="58">
        <f t="shared" si="7"/>
        <v>1916.4999999999968</v>
      </c>
      <c r="AS56" s="58">
        <f aca="true" t="shared" si="41" ref="AS56:AS66">IF(V57=1,AR55*K$16*20/36000+AR56*K$16*10/36000,IF(V57=0,IF(V56=0,0,AR56*K$16*AB$16/36000+AR55*K$16*20/36000+AR56*K$16*10/36000)))</f>
        <v>0</v>
      </c>
      <c r="AT56" s="58">
        <f aca="true" t="shared" si="42" ref="AT56:AT66">IF(V57=1,AR55*K$16*20/36000+AR56*K$16*10/36000,IF(V57=0,IF(V56=0,0,AR56*K$16*AB$16/36000+AR55*K$16*20/36000+AR56*K$16*10/36000)))</f>
        <v>0</v>
      </c>
      <c r="AU56" s="59">
        <f t="shared" si="30"/>
        <v>9</v>
      </c>
      <c r="AV56" s="59">
        <f t="shared" si="8"/>
        <v>9</v>
      </c>
      <c r="AW56" s="16">
        <f t="shared" si="31"/>
        <v>2020</v>
      </c>
      <c r="AX56" s="16">
        <f t="shared" si="9"/>
        <v>2020</v>
      </c>
      <c r="AY56" s="16">
        <f t="shared" si="10"/>
        <v>1</v>
      </c>
      <c r="AZ56" s="16">
        <f t="shared" si="11"/>
        <v>30</v>
      </c>
      <c r="BA56" s="16">
        <f t="shared" si="12"/>
        <v>20</v>
      </c>
      <c r="BB56" s="16">
        <f t="shared" si="32"/>
        <v>30</v>
      </c>
      <c r="BC56" s="16"/>
      <c r="BD56" s="16"/>
      <c r="BE56" s="16"/>
      <c r="BF56" s="16"/>
      <c r="BG56" s="16"/>
      <c r="BH56" s="16">
        <f t="shared" si="13"/>
        <v>0</v>
      </c>
      <c r="BI56" s="16"/>
      <c r="BJ56" s="16">
        <f t="shared" si="33"/>
        <v>219.59694333333326</v>
      </c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7"/>
      <c r="BV56" s="17"/>
      <c r="BW56" s="17"/>
      <c r="BX56" s="17"/>
      <c r="BY56" s="17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</row>
    <row r="57" spans="1:150" s="5" customFormat="1" ht="15" customHeight="1">
      <c r="A57" s="11"/>
      <c r="B57" s="11"/>
      <c r="C57" s="60">
        <v>27</v>
      </c>
      <c r="D57" s="60"/>
      <c r="E57" s="60"/>
      <c r="F57" s="169">
        <f aca="true" t="shared" si="43" ref="F57:F66">IF(V57=0,IF(V56=1,"ИТОГО"," "),IF(C$18=H$18+1,IF(U57=C$18,IF(MONTH(F56)=2,IF(DAY(H$21)&gt;29,DATE(YEAR(F56),MONTH(F56),BB57),DATE(YEAR(F56),MONTH(F56),W57)),DATE(YEAR(F56),MONTH(F56),W57)),DATE(YEAR(F56),MONTH(F56)+1,W57)),DATE(YEAR(F56),MONTH(F56)+1,W57)))</f>
        <v>44124</v>
      </c>
      <c r="G57" s="170"/>
      <c r="H57" s="216">
        <f>IF(V57=0,IF(V56=1,SUM(H$31:I56)," "),IF(V57=0," ",IF(V58=1,H$31,IF(V58=0,H$14-H$31*(X$18-1)," "))))</f>
        <v>83.34</v>
      </c>
      <c r="I57" s="216"/>
      <c r="J57" s="151">
        <f>IF(V57=0,IF(V56=1,SUM(J$31:J56)," "),IF(U$1=1,X57,IF(U$1=2,Y57," ")))</f>
        <v>25.340326666666627</v>
      </c>
      <c r="K57" s="151">
        <f>IF(V57=0,IF(V56=1," "," "),IF(U1=1,0,IF(U1=2,0," ")))</f>
        <v>0</v>
      </c>
      <c r="L57" s="151">
        <f t="shared" si="16"/>
        <v>108.68032666666663</v>
      </c>
      <c r="M57" s="21"/>
      <c r="N57" s="120"/>
      <c r="O57" s="120"/>
      <c r="P57" s="120"/>
      <c r="Q57" s="135">
        <f t="shared" si="17"/>
        <v>80</v>
      </c>
      <c r="R57" s="135">
        <f t="shared" si="0"/>
        <v>27.54888888888889</v>
      </c>
      <c r="S57" s="135">
        <v>0</v>
      </c>
      <c r="T57" s="135">
        <f t="shared" si="18"/>
        <v>107.54888888888888</v>
      </c>
      <c r="U57" s="16">
        <v>27</v>
      </c>
      <c r="V57" s="16">
        <f t="shared" si="36"/>
        <v>1</v>
      </c>
      <c r="W57" s="16">
        <f t="shared" si="1"/>
        <v>20</v>
      </c>
      <c r="X57" s="58">
        <f t="shared" si="20"/>
        <v>25.340326666666627</v>
      </c>
      <c r="Y57" s="58">
        <f t="shared" si="21"/>
        <v>25.340326666666627</v>
      </c>
      <c r="Z57" s="58">
        <f t="shared" si="22"/>
        <v>1833.159999999997</v>
      </c>
      <c r="AA57" s="58">
        <f t="shared" si="23"/>
        <v>83.34</v>
      </c>
      <c r="AB57" s="58">
        <f t="shared" si="24"/>
        <v>80</v>
      </c>
      <c r="AC57" s="58">
        <f t="shared" si="38"/>
        <v>25.340326666666627</v>
      </c>
      <c r="AD57" s="58">
        <f t="shared" si="39"/>
        <v>25.340326666666627</v>
      </c>
      <c r="AE57" s="58">
        <f t="shared" si="25"/>
        <v>53.66666666666668</v>
      </c>
      <c r="AF57" s="58">
        <f t="shared" si="26"/>
        <v>50</v>
      </c>
      <c r="AG57" s="58">
        <f t="shared" si="2"/>
        <v>2000</v>
      </c>
      <c r="AH57" s="58">
        <f t="shared" si="40"/>
        <v>27.54888888888889</v>
      </c>
      <c r="AI57" s="58">
        <f t="shared" si="27"/>
        <v>27.54888888888889</v>
      </c>
      <c r="AJ57" s="58">
        <f t="shared" si="37"/>
        <v>56661.599999999904</v>
      </c>
      <c r="AK57" s="58"/>
      <c r="AL57" s="58">
        <f t="shared" si="3"/>
        <v>0</v>
      </c>
      <c r="AM57" s="58">
        <f t="shared" si="4"/>
        <v>0</v>
      </c>
      <c r="AN57" s="58">
        <f t="shared" si="28"/>
        <v>0</v>
      </c>
      <c r="AO57" s="58">
        <f t="shared" si="5"/>
        <v>0</v>
      </c>
      <c r="AP57" s="58">
        <f t="shared" si="29"/>
        <v>0</v>
      </c>
      <c r="AQ57" s="58">
        <f t="shared" si="6"/>
        <v>0</v>
      </c>
      <c r="AR57" s="58">
        <f t="shared" si="7"/>
        <v>1833.159999999997</v>
      </c>
      <c r="AS57" s="58">
        <f t="shared" si="41"/>
        <v>0</v>
      </c>
      <c r="AT57" s="58">
        <f t="shared" si="42"/>
        <v>0</v>
      </c>
      <c r="AU57" s="59">
        <f t="shared" si="30"/>
        <v>10</v>
      </c>
      <c r="AV57" s="59">
        <f t="shared" si="8"/>
        <v>10</v>
      </c>
      <c r="AW57" s="16">
        <f t="shared" si="31"/>
        <v>2020</v>
      </c>
      <c r="AX57" s="16">
        <f t="shared" si="9"/>
        <v>2020</v>
      </c>
      <c r="AY57" s="16">
        <f t="shared" si="10"/>
        <v>1</v>
      </c>
      <c r="AZ57" s="16">
        <f t="shared" si="11"/>
        <v>30</v>
      </c>
      <c r="BA57" s="16">
        <f t="shared" si="12"/>
        <v>20</v>
      </c>
      <c r="BB57" s="16">
        <f t="shared" si="32"/>
        <v>30</v>
      </c>
      <c r="BC57" s="16"/>
      <c r="BD57" s="16"/>
      <c r="BE57" s="16"/>
      <c r="BF57" s="16"/>
      <c r="BG57" s="16"/>
      <c r="BH57" s="16">
        <f t="shared" si="13"/>
        <v>0</v>
      </c>
      <c r="BI57" s="16"/>
      <c r="BJ57" s="16">
        <f t="shared" si="33"/>
        <v>217.36065333333326</v>
      </c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7"/>
      <c r="BV57" s="17"/>
      <c r="BW57" s="17"/>
      <c r="BX57" s="17"/>
      <c r="BY57" s="17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</row>
    <row r="58" spans="1:150" s="5" customFormat="1" ht="15" customHeight="1">
      <c r="A58" s="11"/>
      <c r="B58" s="11"/>
      <c r="C58" s="60">
        <v>28</v>
      </c>
      <c r="D58" s="60"/>
      <c r="E58" s="60"/>
      <c r="F58" s="169">
        <f t="shared" si="43"/>
        <v>44155</v>
      </c>
      <c r="G58" s="170"/>
      <c r="H58" s="216">
        <f>IF(V58=0,IF(V57=1,SUM(H$31:I57)," "),IF(V58=0," ",IF(V59=1,H$31,IF(V59=0,H$14-H$31*(X$18-1)," "))))</f>
        <v>83.34</v>
      </c>
      <c r="I58" s="216"/>
      <c r="J58" s="151">
        <f>IF(V58=0,IF(V57=1,SUM(J$31:J57)," "),IF(U$1=1,X58,IF(U$1=2,Y58," ")))</f>
        <v>24.22218166666663</v>
      </c>
      <c r="K58" s="151">
        <f>IF(V58=0,IF(V57=1," "," "),IF(U1=1,0,IF(U1=2,0," ")))</f>
        <v>0</v>
      </c>
      <c r="L58" s="151">
        <f t="shared" si="16"/>
        <v>107.56218166666663</v>
      </c>
      <c r="M58" s="21"/>
      <c r="N58" s="120"/>
      <c r="O58" s="120"/>
      <c r="P58" s="120"/>
      <c r="Q58" s="135">
        <f t="shared" si="17"/>
        <v>80</v>
      </c>
      <c r="R58" s="135">
        <f t="shared" si="0"/>
        <v>26.47555555555556</v>
      </c>
      <c r="S58" s="135">
        <v>0</v>
      </c>
      <c r="T58" s="135">
        <f t="shared" si="18"/>
        <v>106.47555555555556</v>
      </c>
      <c r="U58" s="16">
        <v>28</v>
      </c>
      <c r="V58" s="16">
        <f t="shared" si="36"/>
        <v>1</v>
      </c>
      <c r="W58" s="16">
        <f t="shared" si="1"/>
        <v>20</v>
      </c>
      <c r="X58" s="58">
        <f t="shared" si="20"/>
        <v>24.22218166666663</v>
      </c>
      <c r="Y58" s="58">
        <f t="shared" si="21"/>
        <v>24.22218166666663</v>
      </c>
      <c r="Z58" s="58">
        <f t="shared" si="22"/>
        <v>1749.819999999997</v>
      </c>
      <c r="AA58" s="58">
        <f t="shared" si="23"/>
        <v>83.34</v>
      </c>
      <c r="AB58" s="58">
        <f t="shared" si="24"/>
        <v>80</v>
      </c>
      <c r="AC58" s="58">
        <f t="shared" si="38"/>
        <v>24.22218166666663</v>
      </c>
      <c r="AD58" s="58">
        <f t="shared" si="39"/>
        <v>24.22218166666663</v>
      </c>
      <c r="AE58" s="58">
        <f t="shared" si="25"/>
        <v>53.66666666666668</v>
      </c>
      <c r="AF58" s="58">
        <f t="shared" si="26"/>
        <v>50</v>
      </c>
      <c r="AG58" s="58">
        <f t="shared" si="2"/>
        <v>1920</v>
      </c>
      <c r="AH58" s="58">
        <f t="shared" si="40"/>
        <v>26.47555555555556</v>
      </c>
      <c r="AI58" s="58">
        <f t="shared" si="27"/>
        <v>26.47555555555556</v>
      </c>
      <c r="AJ58" s="58">
        <f t="shared" si="37"/>
        <v>54161.39999999991</v>
      </c>
      <c r="AK58" s="58"/>
      <c r="AL58" s="58">
        <f t="shared" si="3"/>
        <v>0</v>
      </c>
      <c r="AM58" s="58">
        <f t="shared" si="4"/>
        <v>0</v>
      </c>
      <c r="AN58" s="58">
        <f t="shared" si="28"/>
        <v>0</v>
      </c>
      <c r="AO58" s="58">
        <f t="shared" si="5"/>
        <v>0</v>
      </c>
      <c r="AP58" s="58">
        <f t="shared" si="29"/>
        <v>0</v>
      </c>
      <c r="AQ58" s="58">
        <f t="shared" si="6"/>
        <v>0</v>
      </c>
      <c r="AR58" s="58">
        <f t="shared" si="7"/>
        <v>1749.819999999997</v>
      </c>
      <c r="AS58" s="58">
        <f t="shared" si="41"/>
        <v>0</v>
      </c>
      <c r="AT58" s="58">
        <f t="shared" si="42"/>
        <v>0</v>
      </c>
      <c r="AU58" s="59">
        <f t="shared" si="30"/>
        <v>11</v>
      </c>
      <c r="AV58" s="59">
        <f t="shared" si="8"/>
        <v>11</v>
      </c>
      <c r="AW58" s="16">
        <f t="shared" si="31"/>
        <v>2020</v>
      </c>
      <c r="AX58" s="16">
        <f t="shared" si="9"/>
        <v>2020</v>
      </c>
      <c r="AY58" s="16">
        <f t="shared" si="10"/>
        <v>1</v>
      </c>
      <c r="AZ58" s="16">
        <f t="shared" si="11"/>
        <v>30</v>
      </c>
      <c r="BA58" s="16">
        <f t="shared" si="12"/>
        <v>20</v>
      </c>
      <c r="BB58" s="16">
        <f t="shared" si="32"/>
        <v>30</v>
      </c>
      <c r="BC58" s="16"/>
      <c r="BD58" s="16"/>
      <c r="BE58" s="16"/>
      <c r="BF58" s="16"/>
      <c r="BG58" s="16"/>
      <c r="BH58" s="16">
        <f t="shared" si="13"/>
        <v>0</v>
      </c>
      <c r="BI58" s="16"/>
      <c r="BJ58" s="16">
        <f t="shared" si="33"/>
        <v>215.12436333333326</v>
      </c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7"/>
      <c r="BV58" s="17"/>
      <c r="BW58" s="17"/>
      <c r="BX58" s="17"/>
      <c r="BY58" s="17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</row>
    <row r="59" spans="1:150" s="5" customFormat="1" ht="15" customHeight="1">
      <c r="A59" s="11"/>
      <c r="B59" s="11"/>
      <c r="C59" s="60">
        <v>29</v>
      </c>
      <c r="D59" s="60"/>
      <c r="E59" s="60"/>
      <c r="F59" s="169">
        <f t="shared" si="43"/>
        <v>44185</v>
      </c>
      <c r="G59" s="170"/>
      <c r="H59" s="216">
        <f>IF(V59=0,IF(V58=1,SUM(H$31:I58)," "),IF(V59=0," ",IF(V60=1,H$31,IF(V60=0,H$14-H$31*(X$18-1)," "))))</f>
        <v>83.34</v>
      </c>
      <c r="I59" s="216"/>
      <c r="J59" s="151">
        <f>IF(V59=0,IF(V58=1,SUM(J$31:J58)," "),IF(U$1=1,X59,IF(U$1=2,Y59," ")))</f>
        <v>23.10403666666663</v>
      </c>
      <c r="K59" s="151">
        <f>IF(V59=0,IF(V58=1," "," "),IF(U1=1,0,IF(U1=2,0," ")))</f>
        <v>0</v>
      </c>
      <c r="L59" s="151">
        <f t="shared" si="16"/>
        <v>106.44403666666663</v>
      </c>
      <c r="M59" s="21"/>
      <c r="N59" s="120"/>
      <c r="O59" s="120"/>
      <c r="P59" s="120"/>
      <c r="Q59" s="135">
        <f t="shared" si="17"/>
        <v>80</v>
      </c>
      <c r="R59" s="135">
        <f t="shared" si="0"/>
        <v>25.40222222222223</v>
      </c>
      <c r="S59" s="135">
        <v>0</v>
      </c>
      <c r="T59" s="135">
        <f t="shared" si="18"/>
        <v>105.40222222222224</v>
      </c>
      <c r="U59" s="16">
        <v>29</v>
      </c>
      <c r="V59" s="16">
        <f t="shared" si="36"/>
        <v>1</v>
      </c>
      <c r="W59" s="16">
        <f t="shared" si="1"/>
        <v>20</v>
      </c>
      <c r="X59" s="58">
        <f t="shared" si="20"/>
        <v>23.10403666666663</v>
      </c>
      <c r="Y59" s="58">
        <f t="shared" si="21"/>
        <v>23.10403666666663</v>
      </c>
      <c r="Z59" s="58">
        <f t="shared" si="22"/>
        <v>1666.479999999997</v>
      </c>
      <c r="AA59" s="58">
        <f t="shared" si="23"/>
        <v>83.34</v>
      </c>
      <c r="AB59" s="58">
        <f t="shared" si="24"/>
        <v>80</v>
      </c>
      <c r="AC59" s="58">
        <f t="shared" si="38"/>
        <v>23.10403666666663</v>
      </c>
      <c r="AD59" s="58">
        <f t="shared" si="39"/>
        <v>23.10403666666663</v>
      </c>
      <c r="AE59" s="58">
        <f t="shared" si="25"/>
        <v>53.66666666666668</v>
      </c>
      <c r="AF59" s="58">
        <f t="shared" si="26"/>
        <v>50</v>
      </c>
      <c r="AG59" s="58">
        <f t="shared" si="2"/>
        <v>1840</v>
      </c>
      <c r="AH59" s="58">
        <f t="shared" si="40"/>
        <v>25.40222222222223</v>
      </c>
      <c r="AI59" s="58">
        <f t="shared" si="27"/>
        <v>25.40222222222223</v>
      </c>
      <c r="AJ59" s="58">
        <f t="shared" si="37"/>
        <v>51661.19999999991</v>
      </c>
      <c r="AK59" s="58"/>
      <c r="AL59" s="58">
        <f t="shared" si="3"/>
        <v>0</v>
      </c>
      <c r="AM59" s="58">
        <f t="shared" si="4"/>
        <v>0</v>
      </c>
      <c r="AN59" s="58">
        <f t="shared" si="28"/>
        <v>0</v>
      </c>
      <c r="AO59" s="58">
        <f t="shared" si="5"/>
        <v>0</v>
      </c>
      <c r="AP59" s="58">
        <f t="shared" si="29"/>
        <v>0</v>
      </c>
      <c r="AQ59" s="58">
        <f t="shared" si="6"/>
        <v>0</v>
      </c>
      <c r="AR59" s="58">
        <f t="shared" si="7"/>
        <v>1666.479999999997</v>
      </c>
      <c r="AS59" s="58">
        <f t="shared" si="41"/>
        <v>0</v>
      </c>
      <c r="AT59" s="58">
        <f t="shared" si="42"/>
        <v>0</v>
      </c>
      <c r="AU59" s="59">
        <f t="shared" si="30"/>
        <v>12</v>
      </c>
      <c r="AV59" s="59">
        <f t="shared" si="8"/>
        <v>12</v>
      </c>
      <c r="AW59" s="16">
        <f t="shared" si="31"/>
        <v>2020</v>
      </c>
      <c r="AX59" s="16">
        <f t="shared" si="9"/>
        <v>2020</v>
      </c>
      <c r="AY59" s="16">
        <f t="shared" si="10"/>
        <v>1</v>
      </c>
      <c r="AZ59" s="16">
        <f t="shared" si="11"/>
        <v>30</v>
      </c>
      <c r="BA59" s="16">
        <f t="shared" si="12"/>
        <v>20</v>
      </c>
      <c r="BB59" s="16">
        <f t="shared" si="32"/>
        <v>30</v>
      </c>
      <c r="BC59" s="16"/>
      <c r="BD59" s="16"/>
      <c r="BE59" s="16"/>
      <c r="BF59" s="16"/>
      <c r="BG59" s="16"/>
      <c r="BH59" s="16">
        <f t="shared" si="13"/>
        <v>0</v>
      </c>
      <c r="BI59" s="16"/>
      <c r="BJ59" s="16">
        <f t="shared" si="33"/>
        <v>212.88807333333327</v>
      </c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7"/>
      <c r="BV59" s="17"/>
      <c r="BW59" s="17"/>
      <c r="BX59" s="17"/>
      <c r="BY59" s="17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</row>
    <row r="60" spans="1:150" s="5" customFormat="1" ht="15" customHeight="1">
      <c r="A60" s="11"/>
      <c r="B60" s="11"/>
      <c r="C60" s="60">
        <v>30</v>
      </c>
      <c r="D60" s="60"/>
      <c r="E60" s="60"/>
      <c r="F60" s="169">
        <f t="shared" si="43"/>
        <v>44216</v>
      </c>
      <c r="G60" s="170"/>
      <c r="H60" s="216">
        <f>IF(V60=0,IF(V59=1,SUM(H$31:I59)," "),IF(V60=0," ",IF(V61=1,H$31,IF(V61=0,H$14-H$31*(X$18-1)," "))))</f>
        <v>83.34</v>
      </c>
      <c r="I60" s="216"/>
      <c r="J60" s="151">
        <f>IF(V60=0,IF(V59=1,SUM(J$31:J59)," "),IF(U$1=1,X60,IF(U$1=2,Y60," ")))</f>
        <v>21.98589166666663</v>
      </c>
      <c r="K60" s="151">
        <f>IF(V60=0,IF(V59=1," "," "),IF(U1=1,0,IF(U1=2,0," ")))</f>
        <v>0</v>
      </c>
      <c r="L60" s="151">
        <f t="shared" si="16"/>
        <v>105.32589166666664</v>
      </c>
      <c r="M60" s="21"/>
      <c r="N60" s="120"/>
      <c r="O60" s="120"/>
      <c r="P60" s="120"/>
      <c r="Q60" s="135">
        <f t="shared" si="17"/>
        <v>80</v>
      </c>
      <c r="R60" s="135">
        <f t="shared" si="0"/>
        <v>24.328888888888894</v>
      </c>
      <c r="S60" s="135">
        <v>0</v>
      </c>
      <c r="T60" s="135">
        <f t="shared" si="18"/>
        <v>104.3288888888889</v>
      </c>
      <c r="U60" s="16">
        <v>30</v>
      </c>
      <c r="V60" s="16">
        <f t="shared" si="36"/>
        <v>1</v>
      </c>
      <c r="W60" s="16">
        <f t="shared" si="1"/>
        <v>20</v>
      </c>
      <c r="X60" s="58">
        <f t="shared" si="20"/>
        <v>21.98589166666663</v>
      </c>
      <c r="Y60" s="58">
        <f t="shared" si="21"/>
        <v>21.98589166666663</v>
      </c>
      <c r="Z60" s="58">
        <f t="shared" si="22"/>
        <v>1583.1399999999971</v>
      </c>
      <c r="AA60" s="58">
        <f t="shared" si="23"/>
        <v>83.34</v>
      </c>
      <c r="AB60" s="58">
        <f t="shared" si="24"/>
        <v>80</v>
      </c>
      <c r="AC60" s="58">
        <f t="shared" si="38"/>
        <v>21.98589166666663</v>
      </c>
      <c r="AD60" s="58">
        <f t="shared" si="39"/>
        <v>21.98589166666663</v>
      </c>
      <c r="AE60" s="58">
        <f t="shared" si="25"/>
        <v>53.66666666666668</v>
      </c>
      <c r="AF60" s="58">
        <f t="shared" si="26"/>
        <v>50</v>
      </c>
      <c r="AG60" s="58">
        <f t="shared" si="2"/>
        <v>1760</v>
      </c>
      <c r="AH60" s="58">
        <f t="shared" si="40"/>
        <v>24.328888888888894</v>
      </c>
      <c r="AI60" s="58">
        <f t="shared" si="27"/>
        <v>24.328888888888894</v>
      </c>
      <c r="AJ60" s="58">
        <f t="shared" si="37"/>
        <v>49160.99999999991</v>
      </c>
      <c r="AK60" s="58"/>
      <c r="AL60" s="58">
        <f t="shared" si="3"/>
        <v>0</v>
      </c>
      <c r="AM60" s="58">
        <f t="shared" si="4"/>
        <v>0</v>
      </c>
      <c r="AN60" s="58">
        <f t="shared" si="28"/>
        <v>0</v>
      </c>
      <c r="AO60" s="58">
        <f t="shared" si="5"/>
        <v>0</v>
      </c>
      <c r="AP60" s="58">
        <f t="shared" si="29"/>
        <v>0</v>
      </c>
      <c r="AQ60" s="58">
        <f t="shared" si="6"/>
        <v>0</v>
      </c>
      <c r="AR60" s="58">
        <f t="shared" si="7"/>
        <v>1583.1399999999971</v>
      </c>
      <c r="AS60" s="58">
        <f t="shared" si="41"/>
        <v>0</v>
      </c>
      <c r="AT60" s="58">
        <f t="shared" si="42"/>
        <v>0</v>
      </c>
      <c r="AU60" s="59">
        <f t="shared" si="30"/>
        <v>13</v>
      </c>
      <c r="AV60" s="59">
        <f t="shared" si="8"/>
        <v>1</v>
      </c>
      <c r="AW60" s="16">
        <f t="shared" si="31"/>
        <v>2020</v>
      </c>
      <c r="AX60" s="16">
        <f t="shared" si="9"/>
        <v>2021</v>
      </c>
      <c r="AY60" s="16">
        <f t="shared" si="10"/>
        <v>1</v>
      </c>
      <c r="AZ60" s="16">
        <f t="shared" si="11"/>
        <v>30</v>
      </c>
      <c r="BA60" s="16">
        <f t="shared" si="12"/>
        <v>20</v>
      </c>
      <c r="BB60" s="16">
        <f t="shared" si="32"/>
        <v>30</v>
      </c>
      <c r="BC60" s="16"/>
      <c r="BD60" s="16"/>
      <c r="BE60" s="16"/>
      <c r="BF60" s="16"/>
      <c r="BG60" s="16"/>
      <c r="BH60" s="16">
        <f t="shared" si="13"/>
        <v>0</v>
      </c>
      <c r="BI60" s="16"/>
      <c r="BJ60" s="16">
        <f t="shared" si="33"/>
        <v>210.65178333333327</v>
      </c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7"/>
      <c r="BV60" s="17"/>
      <c r="BW60" s="17"/>
      <c r="BX60" s="17"/>
      <c r="BY60" s="17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</row>
    <row r="61" spans="1:150" s="5" customFormat="1" ht="15" customHeight="1">
      <c r="A61" s="11"/>
      <c r="B61" s="11"/>
      <c r="C61" s="60">
        <v>31</v>
      </c>
      <c r="D61" s="60"/>
      <c r="E61" s="60"/>
      <c r="F61" s="169">
        <f t="shared" si="43"/>
        <v>44247</v>
      </c>
      <c r="G61" s="170"/>
      <c r="H61" s="216">
        <f>IF(V61=0,IF(V60=1,SUM(H$31:I60)," "),IF(V61=0," ",IF(V62=1,H$31,IF(V62=0,H$14-H$31*(X$18-1)," "))))</f>
        <v>83.34</v>
      </c>
      <c r="I61" s="216"/>
      <c r="J61" s="151">
        <f>IF(V61=0,IF(V60=1,SUM(J$31:J60)," "),IF(U$1=1,X61,IF(U$1=2,Y61," ")))</f>
        <v>20.867746666666633</v>
      </c>
      <c r="K61" s="151">
        <f>IF(V61=0,IF(V60=1," "," "),IF(U1=1,0,IF(U1=2,0," ")))</f>
        <v>0</v>
      </c>
      <c r="L61" s="151">
        <f t="shared" si="16"/>
        <v>104.20774666666664</v>
      </c>
      <c r="M61" s="21"/>
      <c r="N61" s="120"/>
      <c r="O61" s="120"/>
      <c r="P61" s="120"/>
      <c r="Q61" s="135">
        <f t="shared" si="17"/>
        <v>80</v>
      </c>
      <c r="R61" s="135">
        <f t="shared" si="0"/>
        <v>23.25555555555556</v>
      </c>
      <c r="S61" s="135">
        <v>0</v>
      </c>
      <c r="T61" s="135">
        <f t="shared" si="18"/>
        <v>103.25555555555556</v>
      </c>
      <c r="U61" s="16">
        <v>31</v>
      </c>
      <c r="V61" s="16">
        <f t="shared" si="36"/>
        <v>1</v>
      </c>
      <c r="W61" s="16">
        <f t="shared" si="1"/>
        <v>20</v>
      </c>
      <c r="X61" s="58">
        <f t="shared" si="20"/>
        <v>20.867746666666633</v>
      </c>
      <c r="Y61" s="58">
        <f t="shared" si="21"/>
        <v>20.867746666666633</v>
      </c>
      <c r="Z61" s="58">
        <f t="shared" si="22"/>
        <v>1499.7999999999972</v>
      </c>
      <c r="AA61" s="58">
        <f t="shared" si="23"/>
        <v>83.34</v>
      </c>
      <c r="AB61" s="58">
        <f t="shared" si="24"/>
        <v>80</v>
      </c>
      <c r="AC61" s="58">
        <f t="shared" si="38"/>
        <v>20.867746666666633</v>
      </c>
      <c r="AD61" s="58">
        <f t="shared" si="39"/>
        <v>20.867746666666633</v>
      </c>
      <c r="AE61" s="58">
        <f t="shared" si="25"/>
        <v>53.66666666666668</v>
      </c>
      <c r="AF61" s="58">
        <f t="shared" si="26"/>
        <v>50</v>
      </c>
      <c r="AG61" s="58">
        <f t="shared" si="2"/>
        <v>1680</v>
      </c>
      <c r="AH61" s="58">
        <f t="shared" si="40"/>
        <v>23.25555555555556</v>
      </c>
      <c r="AI61" s="58">
        <f t="shared" si="27"/>
        <v>23.25555555555556</v>
      </c>
      <c r="AJ61" s="58">
        <f t="shared" si="37"/>
        <v>46660.799999999916</v>
      </c>
      <c r="AK61" s="58"/>
      <c r="AL61" s="58">
        <f t="shared" si="3"/>
        <v>0</v>
      </c>
      <c r="AM61" s="58">
        <f t="shared" si="4"/>
        <v>0</v>
      </c>
      <c r="AN61" s="58">
        <f t="shared" si="28"/>
        <v>0</v>
      </c>
      <c r="AO61" s="58">
        <f t="shared" si="5"/>
        <v>0</v>
      </c>
      <c r="AP61" s="58">
        <f t="shared" si="29"/>
        <v>0</v>
      </c>
      <c r="AQ61" s="58">
        <f t="shared" si="6"/>
        <v>0</v>
      </c>
      <c r="AR61" s="58">
        <f t="shared" si="7"/>
        <v>1499.7999999999972</v>
      </c>
      <c r="AS61" s="58">
        <f t="shared" si="41"/>
        <v>0</v>
      </c>
      <c r="AT61" s="58">
        <f t="shared" si="42"/>
        <v>0</v>
      </c>
      <c r="AU61" s="59">
        <f t="shared" si="30"/>
        <v>2</v>
      </c>
      <c r="AV61" s="59">
        <f t="shared" si="8"/>
        <v>2</v>
      </c>
      <c r="AW61" s="16">
        <f t="shared" si="31"/>
        <v>2021</v>
      </c>
      <c r="AX61" s="16">
        <f t="shared" si="9"/>
        <v>2021</v>
      </c>
      <c r="AY61" s="16">
        <f t="shared" si="10"/>
        <v>0</v>
      </c>
      <c r="AZ61" s="16">
        <f t="shared" si="11"/>
        <v>28</v>
      </c>
      <c r="BA61" s="16">
        <f t="shared" si="12"/>
        <v>20</v>
      </c>
      <c r="BB61" s="16">
        <f t="shared" si="32"/>
        <v>30</v>
      </c>
      <c r="BC61" s="16"/>
      <c r="BD61" s="16"/>
      <c r="BE61" s="16"/>
      <c r="BF61" s="16"/>
      <c r="BG61" s="16"/>
      <c r="BH61" s="16">
        <f t="shared" si="13"/>
        <v>0</v>
      </c>
      <c r="BI61" s="16"/>
      <c r="BJ61" s="16">
        <f t="shared" si="33"/>
        <v>208.41549333333327</v>
      </c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7"/>
      <c r="BV61" s="17"/>
      <c r="BW61" s="17"/>
      <c r="BX61" s="17"/>
      <c r="BY61" s="17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</row>
    <row r="62" spans="1:150" s="5" customFormat="1" ht="15" customHeight="1">
      <c r="A62" s="11"/>
      <c r="B62" s="11"/>
      <c r="C62" s="60">
        <v>32</v>
      </c>
      <c r="D62" s="60"/>
      <c r="E62" s="60"/>
      <c r="F62" s="169">
        <f t="shared" si="43"/>
        <v>44275</v>
      </c>
      <c r="G62" s="170"/>
      <c r="H62" s="216">
        <f>IF(V62=0,IF(V61=1,SUM(H$31:I61)," "),IF(V62=0," ",IF(V63=1,H$31,IF(V63=0,H$14-H$31*(X$18-1)," "))))</f>
        <v>83.34</v>
      </c>
      <c r="I62" s="216"/>
      <c r="J62" s="151">
        <f>IF(V62=0,IF(V61=1,SUM(J$31:J61)," "),IF(U$1=1,X62,IF(U$1=2,Y62," ")))</f>
        <v>19.74960166666663</v>
      </c>
      <c r="K62" s="151">
        <f>IF(V62=0,IF(V61=1," "," "),IF(U1=1,0,IF(U1=2,0," ")))</f>
        <v>0</v>
      </c>
      <c r="L62" s="151">
        <f t="shared" si="16"/>
        <v>103.08960166666664</v>
      </c>
      <c r="M62" s="21"/>
      <c r="N62" s="120"/>
      <c r="O62" s="120"/>
      <c r="P62" s="120"/>
      <c r="Q62" s="135">
        <f t="shared" si="17"/>
        <v>80</v>
      </c>
      <c r="R62" s="135">
        <f t="shared" si="0"/>
        <v>22.182222222222226</v>
      </c>
      <c r="S62" s="135">
        <v>0</v>
      </c>
      <c r="T62" s="135">
        <f t="shared" si="18"/>
        <v>102.18222222222222</v>
      </c>
      <c r="U62" s="16">
        <v>32</v>
      </c>
      <c r="V62" s="16">
        <f t="shared" si="36"/>
        <v>1</v>
      </c>
      <c r="W62" s="16">
        <f t="shared" si="1"/>
        <v>20</v>
      </c>
      <c r="X62" s="58">
        <f t="shared" si="20"/>
        <v>19.74960166666663</v>
      </c>
      <c r="Y62" s="58">
        <f t="shared" si="21"/>
        <v>19.74960166666663</v>
      </c>
      <c r="Z62" s="58">
        <f t="shared" si="22"/>
        <v>1416.4599999999973</v>
      </c>
      <c r="AA62" s="58">
        <f t="shared" si="23"/>
        <v>83.34</v>
      </c>
      <c r="AB62" s="58">
        <f t="shared" si="24"/>
        <v>80</v>
      </c>
      <c r="AC62" s="58">
        <f t="shared" si="38"/>
        <v>19.74960166666663</v>
      </c>
      <c r="AD62" s="58">
        <f t="shared" si="39"/>
        <v>19.74960166666663</v>
      </c>
      <c r="AE62" s="58">
        <f t="shared" si="25"/>
        <v>53.66666666666668</v>
      </c>
      <c r="AF62" s="58">
        <f t="shared" si="26"/>
        <v>50</v>
      </c>
      <c r="AG62" s="58">
        <f t="shared" si="2"/>
        <v>1600</v>
      </c>
      <c r="AH62" s="58">
        <f t="shared" si="40"/>
        <v>22.182222222222226</v>
      </c>
      <c r="AI62" s="58">
        <f t="shared" si="27"/>
        <v>22.182222222222226</v>
      </c>
      <c r="AJ62" s="58">
        <f t="shared" si="37"/>
        <v>44160.59999999992</v>
      </c>
      <c r="AK62" s="58"/>
      <c r="AL62" s="58">
        <f t="shared" si="3"/>
        <v>0</v>
      </c>
      <c r="AM62" s="58">
        <f t="shared" si="4"/>
        <v>0</v>
      </c>
      <c r="AN62" s="58">
        <f t="shared" si="28"/>
        <v>0</v>
      </c>
      <c r="AO62" s="58">
        <f t="shared" si="5"/>
        <v>0</v>
      </c>
      <c r="AP62" s="58">
        <f t="shared" si="29"/>
        <v>0</v>
      </c>
      <c r="AQ62" s="58">
        <f t="shared" si="6"/>
        <v>0</v>
      </c>
      <c r="AR62" s="58">
        <f t="shared" si="7"/>
        <v>1416.4599999999973</v>
      </c>
      <c r="AS62" s="58">
        <f t="shared" si="41"/>
        <v>0</v>
      </c>
      <c r="AT62" s="58">
        <f t="shared" si="42"/>
        <v>0</v>
      </c>
      <c r="AU62" s="59">
        <f t="shared" si="30"/>
        <v>3</v>
      </c>
      <c r="AV62" s="59">
        <f t="shared" si="8"/>
        <v>3</v>
      </c>
      <c r="AW62" s="16">
        <f t="shared" si="31"/>
        <v>2021</v>
      </c>
      <c r="AX62" s="16">
        <f t="shared" si="9"/>
        <v>2021</v>
      </c>
      <c r="AY62" s="16">
        <f t="shared" si="10"/>
        <v>0</v>
      </c>
      <c r="AZ62" s="16">
        <f t="shared" si="11"/>
        <v>30</v>
      </c>
      <c r="BA62" s="16">
        <f t="shared" si="12"/>
        <v>20</v>
      </c>
      <c r="BB62" s="16">
        <f t="shared" si="32"/>
        <v>28</v>
      </c>
      <c r="BC62" s="16"/>
      <c r="BD62" s="16"/>
      <c r="BE62" s="16"/>
      <c r="BF62" s="16"/>
      <c r="BG62" s="16"/>
      <c r="BH62" s="16">
        <f t="shared" si="13"/>
        <v>0</v>
      </c>
      <c r="BI62" s="16"/>
      <c r="BJ62" s="16">
        <f t="shared" si="33"/>
        <v>206.17920333333328</v>
      </c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7"/>
      <c r="BV62" s="17"/>
      <c r="BW62" s="17"/>
      <c r="BX62" s="17"/>
      <c r="BY62" s="17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</row>
    <row r="63" spans="1:150" s="5" customFormat="1" ht="15" customHeight="1">
      <c r="A63" s="11"/>
      <c r="B63" s="11"/>
      <c r="C63" s="60">
        <v>33</v>
      </c>
      <c r="D63" s="60"/>
      <c r="E63" s="60"/>
      <c r="F63" s="169">
        <f t="shared" si="43"/>
        <v>44306</v>
      </c>
      <c r="G63" s="170"/>
      <c r="H63" s="216">
        <f>IF(V63=0,IF(V62=1,SUM(H$31:I62)," "),IF(V63=0," ",IF(V64=1,H$31,IF(V64=0,H$14-H$31*(X$18-1)," "))))</f>
        <v>83.34</v>
      </c>
      <c r="I63" s="216"/>
      <c r="J63" s="151">
        <f>IF(V63=0,IF(V62=1,SUM(J$31:J62)," "),IF(U$1=1,X63,IF(U$1=2,Y63," ")))</f>
        <v>18.631456666666633</v>
      </c>
      <c r="K63" s="151">
        <f>IF(V63=0,IF(V62=1," "," "),IF(U1=1,0,IF(U1=2,0," ")))</f>
        <v>0</v>
      </c>
      <c r="L63" s="151">
        <f t="shared" si="16"/>
        <v>101.97145666666664</v>
      </c>
      <c r="M63" s="21"/>
      <c r="N63" s="120"/>
      <c r="O63" s="120"/>
      <c r="P63" s="120"/>
      <c r="Q63" s="135">
        <f t="shared" si="17"/>
        <v>80</v>
      </c>
      <c r="R63" s="135">
        <f aca="true" t="shared" si="44" ref="R63:R91">AI63</f>
        <v>21.10888888888889</v>
      </c>
      <c r="S63" s="135">
        <v>0</v>
      </c>
      <c r="T63" s="135">
        <f t="shared" si="18"/>
        <v>101.10888888888888</v>
      </c>
      <c r="U63" s="16">
        <v>33</v>
      </c>
      <c r="V63" s="16">
        <f t="shared" si="36"/>
        <v>1</v>
      </c>
      <c r="W63" s="16">
        <f aca="true" t="shared" si="45" ref="W63:W91">IF(H$18+1=C$18,IF(U63=C$18,IF(DATE(YEAR(0),MONTH(0),DAY(H$21)-1)&gt;BA63,DATE(YEAR(0),MONTH(0),DAY(H$21)-1),BA63),BA63),IF(U63=C$18,IF(DATE(YEAR(0),MONTH(0),DAY(H$21)-1)&lt;BA63,DATE(YEAR(0),MONTH(0),DAY(H$21)-1),BA63),BA63))</f>
        <v>20</v>
      </c>
      <c r="X63" s="58">
        <f t="shared" si="20"/>
        <v>18.631456666666633</v>
      </c>
      <c r="Y63" s="58">
        <f t="shared" si="21"/>
        <v>18.631456666666633</v>
      </c>
      <c r="Z63" s="58">
        <f t="shared" si="22"/>
        <v>1333.1199999999974</v>
      </c>
      <c r="AA63" s="58">
        <f t="shared" si="23"/>
        <v>83.34</v>
      </c>
      <c r="AB63" s="58">
        <f t="shared" si="24"/>
        <v>80</v>
      </c>
      <c r="AC63" s="58">
        <f t="shared" si="38"/>
        <v>18.631456666666633</v>
      </c>
      <c r="AD63" s="58">
        <f t="shared" si="39"/>
        <v>18.631456666666633</v>
      </c>
      <c r="AE63" s="58">
        <f t="shared" si="25"/>
        <v>53.66666666666668</v>
      </c>
      <c r="AF63" s="58">
        <f t="shared" si="26"/>
        <v>50</v>
      </c>
      <c r="AG63" s="58">
        <f aca="true" t="shared" si="46" ref="AG63:AG91">IF(U63&lt;=(H$20+1),H$14,AG62-Q62)</f>
        <v>1520</v>
      </c>
      <c r="AH63" s="58">
        <f t="shared" si="40"/>
        <v>21.10888888888889</v>
      </c>
      <c r="AI63" s="58">
        <f t="shared" si="27"/>
        <v>21.10888888888889</v>
      </c>
      <c r="AJ63" s="58">
        <f t="shared" si="37"/>
        <v>41660.39999999992</v>
      </c>
      <c r="AK63" s="58"/>
      <c r="AL63" s="58">
        <f aca="true" t="shared" si="47" ref="AL63:AL91">IF(AS63&lt;&gt;0,IF(VALUE(RIGHT(ROUND(AS63,0)))&lt;=5,ROUND(AS63,0)-VALUE(RIGHT(ROUND(AS63,0))),ROUND(AS63,0)+10-VALUE(RIGHT(ROUND(AS63,0)))),0)</f>
        <v>0</v>
      </c>
      <c r="AM63" s="58">
        <f aca="true" t="shared" si="48" ref="AM63:AM91">IF(AT63&lt;&gt;0,IF(VALUE(RIGHT(ROUND(AT63,0)))&lt;=5,ROUND(AT63,0)-VALUE(RIGHT(ROUND(AT63,0))),ROUND(AT63,0)+10-VALUE(RIGHT(ROUND(AT63,0)))),0)</f>
        <v>0</v>
      </c>
      <c r="AN63" s="58">
        <f t="shared" si="28"/>
        <v>0</v>
      </c>
      <c r="AO63" s="58">
        <f aca="true" t="shared" si="49" ref="AO63:AO91">IF(AN63&lt;&gt;0,IF(VALUE(RIGHT(ROUND(AN63,0)))&lt;=5,ROUND(AN63,0)-VALUE(RIGHT(ROUND(AN63,0))),ROUND(AN63,0)+10-VALUE(RIGHT(ROUND(AN63,0)))),0)</f>
        <v>0</v>
      </c>
      <c r="AP63" s="58">
        <f t="shared" si="29"/>
        <v>0</v>
      </c>
      <c r="AQ63" s="58">
        <f aca="true" t="shared" si="50" ref="AQ63:AQ91">IF(AP63&lt;&gt;0,IF(VALUE(RIGHT(ROUND(AP63,0)))&lt;=5,ROUND(AP63,0)-VALUE(RIGHT(ROUND(AP63,0))),ROUND(AP63,0)+10-VALUE(RIGHT(ROUND(AP63,0)))),0)</f>
        <v>0</v>
      </c>
      <c r="AR63" s="58">
        <f aca="true" t="shared" si="51" ref="AR63:AR91">Z63</f>
        <v>1333.1199999999974</v>
      </c>
      <c r="AS63" s="58">
        <f t="shared" si="41"/>
        <v>0</v>
      </c>
      <c r="AT63" s="58">
        <f t="shared" si="42"/>
        <v>0</v>
      </c>
      <c r="AU63" s="59">
        <f t="shared" si="30"/>
        <v>4</v>
      </c>
      <c r="AV63" s="59">
        <f aca="true" t="shared" si="52" ref="AV63:AV91">IF(AU63=13,1,AU63)</f>
        <v>4</v>
      </c>
      <c r="AW63" s="16">
        <f t="shared" si="31"/>
        <v>2021</v>
      </c>
      <c r="AX63" s="16">
        <f aca="true" t="shared" si="53" ref="AX63:AX91">IF(AV63=1,AW63+1,AW63)</f>
        <v>2021</v>
      </c>
      <c r="AY63" s="16">
        <f aca="true" t="shared" si="54" ref="AY63:AY91">IF((AW63/2012)=1,1,IF((AW63/2016)=1,1,IF((AW63/2020)=1,1,IF((AW63/2024)=1,1,IF((AW63/2028)=1,1,IF((AW63/2032)=1,1,0))))))</f>
        <v>0</v>
      </c>
      <c r="AZ63" s="16">
        <f aca="true" t="shared" si="55" ref="AZ63:AZ91">IF(AV63=2,IF(AY63=1,29,28),30)</f>
        <v>30</v>
      </c>
      <c r="BA63" s="16">
        <f aca="true" t="shared" si="56" ref="BA63:BA91">IF(G$30=30,AZ63,20)</f>
        <v>20</v>
      </c>
      <c r="BB63" s="16">
        <f t="shared" si="32"/>
        <v>30</v>
      </c>
      <c r="BC63" s="16"/>
      <c r="BD63" s="16"/>
      <c r="BE63" s="16"/>
      <c r="BF63" s="16"/>
      <c r="BG63" s="16"/>
      <c r="BH63" s="16">
        <f aca="true" t="shared" si="57" ref="BH63:BH91">IF(H$20=0,0,IF(V63=1,1,0))</f>
        <v>0</v>
      </c>
      <c r="BI63" s="16"/>
      <c r="BJ63" s="16">
        <f t="shared" si="33"/>
        <v>203.94291333333328</v>
      </c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7"/>
      <c r="BV63" s="17"/>
      <c r="BW63" s="17"/>
      <c r="BX63" s="17"/>
      <c r="BY63" s="17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</row>
    <row r="64" spans="1:150" s="5" customFormat="1" ht="15" customHeight="1">
      <c r="A64" s="11"/>
      <c r="B64" s="11"/>
      <c r="C64" s="60">
        <v>34</v>
      </c>
      <c r="D64" s="60"/>
      <c r="E64" s="60"/>
      <c r="F64" s="169">
        <f t="shared" si="43"/>
        <v>44336</v>
      </c>
      <c r="G64" s="170"/>
      <c r="H64" s="216">
        <f>IF(V64=0,IF(V63=1,SUM(H$31:I63)," "),IF(V64=0," ",IF(V65=1,H$31,IF(V65=0,H$14-H$31*(X$18-1)," "))))</f>
        <v>83.34</v>
      </c>
      <c r="I64" s="216"/>
      <c r="J64" s="151">
        <f>IF(V64=0,IF(V63=1,SUM(J$31:J63)," "),IF(U$1=1,X64,IF(U$1=2,Y64," ")))</f>
        <v>17.513311666666635</v>
      </c>
      <c r="K64" s="151">
        <f>IF(V64=0,IF(V63=1," "," "),IF(U1=1,0,IF(U1=2,0," ")))</f>
        <v>0</v>
      </c>
      <c r="L64" s="151">
        <f aca="true" t="shared" si="58" ref="L64:L92">IF(SUM(H64:K64)=0," ",SUM(H64:K64))</f>
        <v>100.85331166666664</v>
      </c>
      <c r="M64" s="21"/>
      <c r="N64" s="120"/>
      <c r="O64" s="120"/>
      <c r="P64" s="120"/>
      <c r="Q64" s="135">
        <f aca="true" t="shared" si="59" ref="Q64:Q91">IF(V64=1,IF(V65=1,IF(U64&lt;=H$20,AB64,BE$32),H$14-BE$32*X$21+BE$32),0)</f>
        <v>80</v>
      </c>
      <c r="R64" s="135">
        <f t="shared" si="44"/>
        <v>20.035555555555558</v>
      </c>
      <c r="S64" s="135">
        <v>0</v>
      </c>
      <c r="T64" s="135">
        <f aca="true" t="shared" si="60" ref="T64:T91">IF(SUM(Q64:S64)=0," ",SUM(Q64:S64))</f>
        <v>100.03555555555556</v>
      </c>
      <c r="U64" s="16">
        <v>34</v>
      </c>
      <c r="V64" s="16">
        <f t="shared" si="36"/>
        <v>1</v>
      </c>
      <c r="W64" s="16">
        <f t="shared" si="45"/>
        <v>20</v>
      </c>
      <c r="X64" s="58">
        <f t="shared" si="20"/>
        <v>17.513311666666635</v>
      </c>
      <c r="Y64" s="58">
        <f t="shared" si="21"/>
        <v>17.513311666666635</v>
      </c>
      <c r="Z64" s="58">
        <f aca="true" t="shared" si="61" ref="Z64:Z91">IF(V64=0,0,Z63-H63)</f>
        <v>1249.7799999999975</v>
      </c>
      <c r="AA64" s="58">
        <f aca="true" t="shared" si="62" ref="AA64:AA91">IF(U64&lt;=H$20,H$14/(H$18-U63),H64)</f>
        <v>83.34</v>
      </c>
      <c r="AB64" s="58">
        <f aca="true" t="shared" si="63" ref="AB64:AB91">IF(AA64&lt;&gt;0,IF(VALUE(RIGHT(ROUND(AA64,0)))&lt;=5,ROUND(AA64,0)-VALUE(RIGHT(ROUND(AA64,0))),ROUND(AA64,0)+10-VALUE(RIGHT(ROUND(AA64,0)))),0)</f>
        <v>80</v>
      </c>
      <c r="AC64" s="58">
        <f t="shared" si="38"/>
        <v>17.513311666666635</v>
      </c>
      <c r="AD64" s="58">
        <f t="shared" si="39"/>
        <v>17.513311666666635</v>
      </c>
      <c r="AE64" s="58">
        <f aca="true" t="shared" si="64" ref="AE64:AE90">IF(V65=1,$H$14*$H$15*20/36000+$H$14*$H$15*10/36000,IF(V65=0,IF(V64=0,0,$H$14*$H$15*$AB$16/36000+$H$14*$H$15*20/36000+$H$14*$H$15*10/36000)))</f>
        <v>53.66666666666668</v>
      </c>
      <c r="AF64" s="58">
        <f aca="true" t="shared" si="65" ref="AF64:AF91">IF(AE64&lt;&gt;0,IF(VALUE(RIGHT(ROUND(AE64,0)))&lt;=5,ROUND(AE64,0)-VALUE(RIGHT(ROUND(AE64,0))),ROUND(AE64,0)+10-VALUE(RIGHT(ROUND(AE64,0)))),0)</f>
        <v>50</v>
      </c>
      <c r="AG64" s="58">
        <f t="shared" si="46"/>
        <v>1440</v>
      </c>
      <c r="AH64" s="58">
        <f t="shared" si="40"/>
        <v>20.035555555555558</v>
      </c>
      <c r="AI64" s="58">
        <f t="shared" si="27"/>
        <v>20.035555555555558</v>
      </c>
      <c r="AJ64" s="58">
        <f t="shared" si="37"/>
        <v>39160.199999999924</v>
      </c>
      <c r="AK64" s="58"/>
      <c r="AL64" s="58">
        <f t="shared" si="47"/>
        <v>0</v>
      </c>
      <c r="AM64" s="58">
        <f t="shared" si="48"/>
        <v>0</v>
      </c>
      <c r="AN64" s="58">
        <f aca="true" t="shared" si="66" ref="AN64:AN90">IF(V65=1,H$14*K$16*20/36000+H$14*K$16*10/36000,IF(V65=0,IF(V64=0,0,H$14*K$16*AB$16/36000+H$14*K$16*20/36000+H$14*K$16*10/36000)))</f>
        <v>0</v>
      </c>
      <c r="AO64" s="58">
        <f t="shared" si="49"/>
        <v>0</v>
      </c>
      <c r="AP64" s="58">
        <f aca="true" t="shared" si="67" ref="AP64:AP90">IF(V65=1,AG63*K$16*20/36000+AG64*K$16*10/36000,IF(V65=0,IF(V64=0,0,AG64*K$16*AB$16/36000+AG63*K$16*20/36000+AG64*K$16*10/36000)))</f>
        <v>0</v>
      </c>
      <c r="AQ64" s="58">
        <f t="shared" si="50"/>
        <v>0</v>
      </c>
      <c r="AR64" s="58">
        <f t="shared" si="51"/>
        <v>1249.7799999999975</v>
      </c>
      <c r="AS64" s="58">
        <f t="shared" si="41"/>
        <v>0</v>
      </c>
      <c r="AT64" s="58">
        <f t="shared" si="42"/>
        <v>0</v>
      </c>
      <c r="AU64" s="59">
        <f aca="true" t="shared" si="68" ref="AU64:AU91">IF(V64=0,0,MONTH(F63)+1)</f>
        <v>5</v>
      </c>
      <c r="AV64" s="59">
        <f t="shared" si="52"/>
        <v>5</v>
      </c>
      <c r="AW64" s="16">
        <f aca="true" t="shared" si="69" ref="AW64:AW91">IF(V64=0,0,YEAR(F63))</f>
        <v>2021</v>
      </c>
      <c r="AX64" s="16">
        <f t="shared" si="53"/>
        <v>2021</v>
      </c>
      <c r="AY64" s="16">
        <f t="shared" si="54"/>
        <v>0</v>
      </c>
      <c r="AZ64" s="16">
        <f t="shared" si="55"/>
        <v>30</v>
      </c>
      <c r="BA64" s="16">
        <f t="shared" si="56"/>
        <v>20</v>
      </c>
      <c r="BB64" s="16">
        <f aca="true" t="shared" si="70" ref="BB64:BB91">AZ63</f>
        <v>30</v>
      </c>
      <c r="BC64" s="16"/>
      <c r="BD64" s="16"/>
      <c r="BE64" s="16"/>
      <c r="BF64" s="16"/>
      <c r="BG64" s="16"/>
      <c r="BH64" s="16">
        <f t="shared" si="57"/>
        <v>0</v>
      </c>
      <c r="BI64" s="16"/>
      <c r="BJ64" s="16">
        <f t="shared" si="33"/>
        <v>201.70662333333328</v>
      </c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7"/>
      <c r="BV64" s="17"/>
      <c r="BW64" s="17"/>
      <c r="BX64" s="17"/>
      <c r="BY64" s="17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</row>
    <row r="65" spans="1:150" s="5" customFormat="1" ht="15" customHeight="1">
      <c r="A65" s="11"/>
      <c r="B65" s="11"/>
      <c r="C65" s="60">
        <v>35</v>
      </c>
      <c r="D65" s="60"/>
      <c r="E65" s="60"/>
      <c r="F65" s="169">
        <f t="shared" si="43"/>
        <v>44367</v>
      </c>
      <c r="G65" s="170"/>
      <c r="H65" s="216">
        <f>IF(V65=0,IF(V64=1,SUM(H$31:I64)," "),IF(V65=0," ",IF(V66=1,H$31,IF(V66=0,H$14-H$31*(X$18-1)," "))))</f>
        <v>83.34</v>
      </c>
      <c r="I65" s="216"/>
      <c r="J65" s="151">
        <f>IF(V65=0,IF(V64=1,SUM(J$31:J64)," "),IF(U$1=1,X65,IF(U$1=2,Y65," ")))</f>
        <v>16.395166666666633</v>
      </c>
      <c r="K65" s="151">
        <f>IF(V65=0,IF(V64=1," "," "),IF(U1=1,0,IF(U1=2,0," ")))</f>
        <v>0</v>
      </c>
      <c r="L65" s="151">
        <f t="shared" si="58"/>
        <v>99.73516666666663</v>
      </c>
      <c r="M65" s="21"/>
      <c r="N65" s="120"/>
      <c r="O65" s="120"/>
      <c r="P65" s="120"/>
      <c r="Q65" s="135">
        <f t="shared" si="59"/>
        <v>80</v>
      </c>
      <c r="R65" s="135">
        <f t="shared" si="44"/>
        <v>18.962222222222223</v>
      </c>
      <c r="S65" s="135">
        <v>0</v>
      </c>
      <c r="T65" s="135">
        <f t="shared" si="60"/>
        <v>98.96222222222222</v>
      </c>
      <c r="U65" s="16">
        <v>35</v>
      </c>
      <c r="V65" s="16">
        <f t="shared" si="36"/>
        <v>1</v>
      </c>
      <c r="W65" s="16">
        <f t="shared" si="45"/>
        <v>20</v>
      </c>
      <c r="X65" s="58">
        <f t="shared" si="20"/>
        <v>16.395166666666633</v>
      </c>
      <c r="Y65" s="58">
        <f t="shared" si="21"/>
        <v>16.395166666666633</v>
      </c>
      <c r="Z65" s="58">
        <f t="shared" si="61"/>
        <v>1166.4399999999976</v>
      </c>
      <c r="AA65" s="58">
        <f t="shared" si="62"/>
        <v>83.34</v>
      </c>
      <c r="AB65" s="58">
        <f t="shared" si="63"/>
        <v>80</v>
      </c>
      <c r="AC65" s="58">
        <f t="shared" si="38"/>
        <v>16.395166666666633</v>
      </c>
      <c r="AD65" s="58">
        <f t="shared" si="39"/>
        <v>16.395166666666633</v>
      </c>
      <c r="AE65" s="58">
        <f t="shared" si="64"/>
        <v>53.66666666666668</v>
      </c>
      <c r="AF65" s="58">
        <f t="shared" si="65"/>
        <v>50</v>
      </c>
      <c r="AG65" s="58">
        <f t="shared" si="46"/>
        <v>1360</v>
      </c>
      <c r="AH65" s="58">
        <f t="shared" si="40"/>
        <v>18.962222222222223</v>
      </c>
      <c r="AI65" s="58">
        <f t="shared" si="27"/>
        <v>18.962222222222223</v>
      </c>
      <c r="AJ65" s="58">
        <f t="shared" si="37"/>
        <v>36659.99999999993</v>
      </c>
      <c r="AK65" s="58"/>
      <c r="AL65" s="58">
        <f t="shared" si="47"/>
        <v>0</v>
      </c>
      <c r="AM65" s="58">
        <f t="shared" si="48"/>
        <v>0</v>
      </c>
      <c r="AN65" s="58">
        <f t="shared" si="66"/>
        <v>0</v>
      </c>
      <c r="AO65" s="58">
        <f t="shared" si="49"/>
        <v>0</v>
      </c>
      <c r="AP65" s="58">
        <f t="shared" si="67"/>
        <v>0</v>
      </c>
      <c r="AQ65" s="58">
        <f t="shared" si="50"/>
        <v>0</v>
      </c>
      <c r="AR65" s="58">
        <f t="shared" si="51"/>
        <v>1166.4399999999976</v>
      </c>
      <c r="AS65" s="58">
        <f t="shared" si="41"/>
        <v>0</v>
      </c>
      <c r="AT65" s="58">
        <f t="shared" si="42"/>
        <v>0</v>
      </c>
      <c r="AU65" s="59">
        <f t="shared" si="68"/>
        <v>6</v>
      </c>
      <c r="AV65" s="59">
        <f t="shared" si="52"/>
        <v>6</v>
      </c>
      <c r="AW65" s="16">
        <f t="shared" si="69"/>
        <v>2021</v>
      </c>
      <c r="AX65" s="16">
        <f t="shared" si="53"/>
        <v>2021</v>
      </c>
      <c r="AY65" s="16">
        <f t="shared" si="54"/>
        <v>0</v>
      </c>
      <c r="AZ65" s="16">
        <f t="shared" si="55"/>
        <v>30</v>
      </c>
      <c r="BA65" s="16">
        <f t="shared" si="56"/>
        <v>20</v>
      </c>
      <c r="BB65" s="16">
        <f t="shared" si="70"/>
        <v>30</v>
      </c>
      <c r="BC65" s="16"/>
      <c r="BD65" s="16"/>
      <c r="BE65" s="16"/>
      <c r="BF65" s="16"/>
      <c r="BG65" s="16"/>
      <c r="BH65" s="16">
        <f t="shared" si="57"/>
        <v>0</v>
      </c>
      <c r="BI65" s="16"/>
      <c r="BJ65" s="16">
        <f t="shared" si="33"/>
        <v>199.47033333333326</v>
      </c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7"/>
      <c r="BV65" s="17"/>
      <c r="BW65" s="17"/>
      <c r="BX65" s="17"/>
      <c r="BY65" s="17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</row>
    <row r="66" spans="1:150" s="5" customFormat="1" ht="15" customHeight="1">
      <c r="A66" s="11"/>
      <c r="B66" s="11"/>
      <c r="C66" s="60">
        <v>36</v>
      </c>
      <c r="D66" s="60"/>
      <c r="E66" s="60"/>
      <c r="F66" s="169">
        <f t="shared" si="43"/>
        <v>44397</v>
      </c>
      <c r="G66" s="170"/>
      <c r="H66" s="216">
        <f>IF(V66=0,IF(V65=1,SUM(H$31:I65)," "),IF(V66=0," ",IF(V67=1,H$31,IF(V67=0,H$14-H$31*(X$18-1)," "))))</f>
        <v>83.34</v>
      </c>
      <c r="I66" s="216"/>
      <c r="J66" s="151">
        <f>IF(V66=0,IF(V65=1,SUM(J$31:J65)," "),IF(U$1=1,X66,IF(U$1=2,Y66," ")))</f>
        <v>15.277021666666634</v>
      </c>
      <c r="K66" s="151">
        <f>IF(V66=0,IF(V65=1," "," "),IF(U1=1,0,IF(U1=2,0," ")))</f>
        <v>0</v>
      </c>
      <c r="L66" s="151">
        <f t="shared" si="58"/>
        <v>98.61702166666663</v>
      </c>
      <c r="M66" s="21"/>
      <c r="N66" s="120"/>
      <c r="O66" s="120"/>
      <c r="P66" s="120"/>
      <c r="Q66" s="135">
        <f t="shared" si="59"/>
        <v>80</v>
      </c>
      <c r="R66" s="135">
        <f t="shared" si="44"/>
        <v>17.88888888888889</v>
      </c>
      <c r="S66" s="135">
        <v>0</v>
      </c>
      <c r="T66" s="135">
        <f t="shared" si="60"/>
        <v>97.88888888888889</v>
      </c>
      <c r="U66" s="16">
        <v>36</v>
      </c>
      <c r="V66" s="16">
        <f t="shared" si="36"/>
        <v>1</v>
      </c>
      <c r="W66" s="16">
        <f t="shared" si="45"/>
        <v>20</v>
      </c>
      <c r="X66" s="58">
        <f t="shared" si="20"/>
        <v>15.277021666666634</v>
      </c>
      <c r="Y66" s="58">
        <f t="shared" si="21"/>
        <v>15.277021666666634</v>
      </c>
      <c r="Z66" s="58">
        <f t="shared" si="61"/>
        <v>1083.0999999999976</v>
      </c>
      <c r="AA66" s="58">
        <f t="shared" si="62"/>
        <v>83.34</v>
      </c>
      <c r="AB66" s="58">
        <f t="shared" si="63"/>
        <v>80</v>
      </c>
      <c r="AC66" s="58">
        <f t="shared" si="38"/>
        <v>15.277021666666634</v>
      </c>
      <c r="AD66" s="58">
        <f t="shared" si="39"/>
        <v>15.277021666666634</v>
      </c>
      <c r="AE66" s="58">
        <f t="shared" si="64"/>
        <v>53.66666666666668</v>
      </c>
      <c r="AF66" s="58">
        <f t="shared" si="65"/>
        <v>50</v>
      </c>
      <c r="AG66" s="58">
        <f t="shared" si="46"/>
        <v>1280</v>
      </c>
      <c r="AH66" s="58">
        <f t="shared" si="40"/>
        <v>17.88888888888889</v>
      </c>
      <c r="AI66" s="58">
        <f t="shared" si="27"/>
        <v>17.88888888888889</v>
      </c>
      <c r="AJ66" s="58">
        <f t="shared" si="37"/>
        <v>34159.79999999993</v>
      </c>
      <c r="AK66" s="58"/>
      <c r="AL66" s="58">
        <f t="shared" si="47"/>
        <v>0</v>
      </c>
      <c r="AM66" s="58">
        <f t="shared" si="48"/>
        <v>0</v>
      </c>
      <c r="AN66" s="58">
        <f t="shared" si="66"/>
        <v>0</v>
      </c>
      <c r="AO66" s="58">
        <f t="shared" si="49"/>
        <v>0</v>
      </c>
      <c r="AP66" s="58">
        <f t="shared" si="67"/>
        <v>0</v>
      </c>
      <c r="AQ66" s="58">
        <f t="shared" si="50"/>
        <v>0</v>
      </c>
      <c r="AR66" s="58">
        <f t="shared" si="51"/>
        <v>1083.0999999999976</v>
      </c>
      <c r="AS66" s="58">
        <f t="shared" si="41"/>
        <v>0</v>
      </c>
      <c r="AT66" s="58">
        <f t="shared" si="42"/>
        <v>0</v>
      </c>
      <c r="AU66" s="59">
        <f t="shared" si="68"/>
        <v>7</v>
      </c>
      <c r="AV66" s="59">
        <f t="shared" si="52"/>
        <v>7</v>
      </c>
      <c r="AW66" s="16">
        <f t="shared" si="69"/>
        <v>2021</v>
      </c>
      <c r="AX66" s="16">
        <f t="shared" si="53"/>
        <v>2021</v>
      </c>
      <c r="AY66" s="16">
        <f t="shared" si="54"/>
        <v>0</v>
      </c>
      <c r="AZ66" s="16">
        <f t="shared" si="55"/>
        <v>30</v>
      </c>
      <c r="BA66" s="16">
        <f t="shared" si="56"/>
        <v>20</v>
      </c>
      <c r="BB66" s="16">
        <f t="shared" si="70"/>
        <v>30</v>
      </c>
      <c r="BC66" s="16"/>
      <c r="BD66" s="16"/>
      <c r="BE66" s="16"/>
      <c r="BF66" s="16"/>
      <c r="BG66" s="16"/>
      <c r="BH66" s="16">
        <f t="shared" si="57"/>
        <v>0</v>
      </c>
      <c r="BI66" s="16"/>
      <c r="BJ66" s="16">
        <f t="shared" si="33"/>
        <v>197.23404333333326</v>
      </c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7"/>
      <c r="BV66" s="17"/>
      <c r="BW66" s="17"/>
      <c r="BX66" s="17"/>
      <c r="BY66" s="17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</row>
    <row r="67" spans="1:150" s="5" customFormat="1" ht="15" customHeight="1">
      <c r="A67" s="11"/>
      <c r="B67" s="11"/>
      <c r="C67" s="60">
        <v>37</v>
      </c>
      <c r="D67" s="60"/>
      <c r="E67" s="60"/>
      <c r="F67" s="213">
        <f>IF(V67=0,IF(V66=1,"ИТОГО"," "),IF(C$18=H$18+1,IF(U67=C$18,IF(MONTH(F66)=2,IF(DAY(H$21)&gt;29,DATE(YEAR(F66),MONTH(F66),BB67),DATE(YEAR(F66),MONTH(F66),W67)),DATE(YEAR(F66),MONTH(F66),W67)),DATE(YEAR(F66),MONTH(F66)+1,W67)),DATE(YEAR(F66),MONTH(F66)+1,W67)))</f>
        <v>44428</v>
      </c>
      <c r="G67" s="214"/>
      <c r="H67" s="217">
        <f>IF(V67=0,IF(V66=1,SUM(H$31:I66)," "),IF(V67=0," ",IF(V68=1,H$31,IF(V68=0,H$14-H$31*(X$18-1)," "))))</f>
        <v>83.34</v>
      </c>
      <c r="I67" s="217"/>
      <c r="J67" s="152">
        <f>IF(V67=0,IF(V66=1,SUM(J$31:J66)," "),IF(U$1=1,X67,IF(U$1=2,Y67," ")))</f>
        <v>14.158876666666636</v>
      </c>
      <c r="K67" s="152">
        <f>IF(V67=0,IF(V66=1," "," "),IF(U1=1,0,IF(U1=2,0," ")))</f>
        <v>0</v>
      </c>
      <c r="L67" s="152">
        <f t="shared" si="58"/>
        <v>97.49887666666663</v>
      </c>
      <c r="M67" s="21"/>
      <c r="N67" s="120"/>
      <c r="O67" s="120"/>
      <c r="P67" s="120"/>
      <c r="Q67" s="135">
        <f t="shared" si="59"/>
        <v>80</v>
      </c>
      <c r="R67" s="135">
        <f t="shared" si="44"/>
        <v>16.815555555555555</v>
      </c>
      <c r="S67" s="135">
        <v>0</v>
      </c>
      <c r="T67" s="135">
        <f t="shared" si="60"/>
        <v>96.81555555555556</v>
      </c>
      <c r="U67" s="16">
        <v>37</v>
      </c>
      <c r="V67" s="16">
        <f t="shared" si="36"/>
        <v>1</v>
      </c>
      <c r="W67" s="16">
        <f t="shared" si="45"/>
        <v>20</v>
      </c>
      <c r="X67" s="58">
        <f t="shared" si="20"/>
        <v>14.158876666666636</v>
      </c>
      <c r="Y67" s="58">
        <f t="shared" si="21"/>
        <v>14.158876666666636</v>
      </c>
      <c r="Z67" s="58">
        <f t="shared" si="61"/>
        <v>999.7599999999976</v>
      </c>
      <c r="AA67" s="58">
        <f t="shared" si="62"/>
        <v>83.34</v>
      </c>
      <c r="AB67" s="58">
        <f t="shared" si="63"/>
        <v>80</v>
      </c>
      <c r="AC67" s="58">
        <f>IF(V68=1,Z66*H$15*20/36000+Z67*H$15*10/36000,IF(V68=0,IF(V67=0,0,IF(H$21&gt;20,Z66*H$15*20/36000+Z67*H$15*(AB$16-20)/36000,Z67*H$15*AB$16/36000))))</f>
        <v>14.158876666666636</v>
      </c>
      <c r="AD67" s="58">
        <f>IF(V68=1,Z66*H$15*20/36000+Z67*H$15*10/36000,IF(V68=0,IF(V67=0,0,IF(H$21&gt;20,Z66*H$15*20/36000+Z67*H$15*(AB$16-20)/36000,Z67*H$15*AB$16/36000))))</f>
        <v>14.158876666666636</v>
      </c>
      <c r="AE67" s="58">
        <f t="shared" si="64"/>
        <v>53.66666666666668</v>
      </c>
      <c r="AF67" s="58">
        <f t="shared" si="65"/>
        <v>50</v>
      </c>
      <c r="AG67" s="58">
        <f t="shared" si="46"/>
        <v>1200</v>
      </c>
      <c r="AH67" s="58">
        <f>IF(V68=1,AG66*H$15*20/36000+AG67*H$15*10/36000,IF(V68=0,IF(V67=0,0,IF(H$21&gt;20,AG66*H$15*20/36000+AG67*H$15*(AB$16-20)/36000,AG67*H$15*AB$16/36000))))</f>
        <v>16.815555555555555</v>
      </c>
      <c r="AI67" s="58">
        <f t="shared" si="27"/>
        <v>16.815555555555555</v>
      </c>
      <c r="AJ67" s="58">
        <f t="shared" si="37"/>
        <v>31659.59999999993</v>
      </c>
      <c r="AK67" s="58"/>
      <c r="AL67" s="58">
        <f t="shared" si="47"/>
        <v>0</v>
      </c>
      <c r="AM67" s="58">
        <f t="shared" si="48"/>
        <v>0</v>
      </c>
      <c r="AN67" s="58">
        <f t="shared" si="66"/>
        <v>0</v>
      </c>
      <c r="AO67" s="58">
        <f t="shared" si="49"/>
        <v>0</v>
      </c>
      <c r="AP67" s="58">
        <f t="shared" si="67"/>
        <v>0</v>
      </c>
      <c r="AQ67" s="58">
        <f t="shared" si="50"/>
        <v>0</v>
      </c>
      <c r="AR67" s="58">
        <f t="shared" si="51"/>
        <v>999.7599999999976</v>
      </c>
      <c r="AS67" s="58">
        <f>IF(V68=1,AR66*K$16*20/36000+AR67*K$16*10/36000,IF(V68=0,IF(V67=0,0,AR67*K$16*AB$16/36000)))</f>
        <v>0</v>
      </c>
      <c r="AT67" s="58">
        <f>IF(V68=1,AR66*K$16*20/36000+AR67*K$16*10/36000,IF(V68=0,IF(V67=0,0,AR67*K$16*AB$16/36000)))</f>
        <v>0</v>
      </c>
      <c r="AU67" s="59">
        <f t="shared" si="68"/>
        <v>8</v>
      </c>
      <c r="AV67" s="59">
        <f t="shared" si="52"/>
        <v>8</v>
      </c>
      <c r="AW67" s="16">
        <f t="shared" si="69"/>
        <v>2021</v>
      </c>
      <c r="AX67" s="16">
        <f t="shared" si="53"/>
        <v>2021</v>
      </c>
      <c r="AY67" s="16">
        <f t="shared" si="54"/>
        <v>0</v>
      </c>
      <c r="AZ67" s="16">
        <f t="shared" si="55"/>
        <v>30</v>
      </c>
      <c r="BA67" s="16">
        <f t="shared" si="56"/>
        <v>20</v>
      </c>
      <c r="BB67" s="16">
        <f t="shared" si="70"/>
        <v>30</v>
      </c>
      <c r="BC67" s="16"/>
      <c r="BD67" s="16"/>
      <c r="BE67" s="16"/>
      <c r="BF67" s="16"/>
      <c r="BG67" s="16"/>
      <c r="BH67" s="16">
        <f t="shared" si="57"/>
        <v>0</v>
      </c>
      <c r="BI67" s="16"/>
      <c r="BJ67" s="16">
        <f t="shared" si="33"/>
        <v>194.99775333333326</v>
      </c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7"/>
      <c r="BV67" s="17"/>
      <c r="BW67" s="17"/>
      <c r="BX67" s="17"/>
      <c r="BY67" s="17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</row>
    <row r="68" spans="1:150" s="5" customFormat="1" ht="15" customHeight="1">
      <c r="A68" s="11"/>
      <c r="B68" s="11"/>
      <c r="C68" s="60">
        <v>38</v>
      </c>
      <c r="D68" s="60"/>
      <c r="E68" s="60"/>
      <c r="F68" s="213">
        <f>IF(V68=0,IF(V67=1,"ИТОГО"," "),IF(C$18=H$18+1,IF(U68=C$18,IF(MONTH(F67)=2,IF(DAY(H$21)&gt;29,DATE(YEAR(F67),MONTH(F67),BB68),DATE(YEAR(F67),MONTH(F67),W68)),DATE(YEAR(F67),MONTH(F67),W68)),DATE(YEAR(F67),MONTH(F67)+1,W68)),DATE(YEAR(F67),MONTH(F67)+1,W68)))</f>
        <v>44459</v>
      </c>
      <c r="G68" s="214"/>
      <c r="H68" s="217">
        <f>IF(V68=0,IF(V67=1,SUM(H$31:I67)," "),IF(V68=0," ",IF(V69=1,H$31,IF(V69=0,H$14-H$31*(X$18-1)," "))))</f>
        <v>83.34</v>
      </c>
      <c r="I68" s="217"/>
      <c r="J68" s="152">
        <f>IF(V68=0,IF(V67=1,SUM(J$31:J67)," "),IF(U$1=1,X68,IF(U$1=2,Y68," ")))</f>
        <v>13.040731666666634</v>
      </c>
      <c r="K68" s="152">
        <f>IF(V68=0,IF(V67=1," "," "),IF(U1=1,0,IF(U1=2,0," ")))</f>
        <v>0</v>
      </c>
      <c r="L68" s="152">
        <f t="shared" si="58"/>
        <v>96.38073166666663</v>
      </c>
      <c r="M68" s="21"/>
      <c r="N68" s="120"/>
      <c r="O68" s="120"/>
      <c r="P68" s="120"/>
      <c r="Q68" s="135">
        <f t="shared" si="59"/>
        <v>80</v>
      </c>
      <c r="R68" s="135">
        <f t="shared" si="44"/>
        <v>15.742222222222221</v>
      </c>
      <c r="S68" s="135">
        <v>0</v>
      </c>
      <c r="T68" s="135">
        <f t="shared" si="60"/>
        <v>95.74222222222222</v>
      </c>
      <c r="U68" s="16">
        <v>38</v>
      </c>
      <c r="V68" s="16">
        <f t="shared" si="36"/>
        <v>1</v>
      </c>
      <c r="W68" s="16">
        <f t="shared" si="45"/>
        <v>20</v>
      </c>
      <c r="X68" s="58">
        <f t="shared" si="20"/>
        <v>13.040731666666634</v>
      </c>
      <c r="Y68" s="58">
        <f t="shared" si="21"/>
        <v>13.040731666666634</v>
      </c>
      <c r="Z68" s="58">
        <f t="shared" si="61"/>
        <v>916.4199999999976</v>
      </c>
      <c r="AA68" s="58">
        <f t="shared" si="62"/>
        <v>83.34</v>
      </c>
      <c r="AB68" s="58">
        <f t="shared" si="63"/>
        <v>80</v>
      </c>
      <c r="AC68" s="58">
        <f aca="true" t="shared" si="71" ref="AC68:AC78">IF(V69=1,Z67*H$15*20/36000+Z68*H$15*10/36000,IF(V69=0,IF(V68=0,0,Z68*H$15*AB$16/36000+Z67*H$15*20/36000+Z68*H$15*10/36000)))</f>
        <v>13.040731666666634</v>
      </c>
      <c r="AD68" s="58">
        <f aca="true" t="shared" si="72" ref="AD68:AD78">IF(V69=1,Z67*H$15*20/36000+Z68*H$15*10/36000,IF(V69=0,IF(V68=0,0,Z68*H$15*AB$16/36000+Z67*H$15*20/36000+Z68*H$15*10/36000)))</f>
        <v>13.040731666666634</v>
      </c>
      <c r="AE68" s="58">
        <f t="shared" si="64"/>
        <v>53.66666666666668</v>
      </c>
      <c r="AF68" s="58">
        <f t="shared" si="65"/>
        <v>50</v>
      </c>
      <c r="AG68" s="58">
        <f t="shared" si="46"/>
        <v>1120</v>
      </c>
      <c r="AH68" s="58">
        <f aca="true" t="shared" si="73" ref="AH68:AH78">IF(V69=1,AG67*H$15*20/36000+AG68*H$15*10/36000,IF(V69=0,IF(V68=0,0,AG68*H$15*AB$16/36000+AG67*H$15*20/36000+AG68*H$15*10/36000)))</f>
        <v>15.742222222222221</v>
      </c>
      <c r="AI68" s="58">
        <f t="shared" si="27"/>
        <v>15.742222222222221</v>
      </c>
      <c r="AJ68" s="58">
        <f t="shared" si="37"/>
        <v>29159.39999999993</v>
      </c>
      <c r="AK68" s="58"/>
      <c r="AL68" s="58">
        <f t="shared" si="47"/>
        <v>0</v>
      </c>
      <c r="AM68" s="58">
        <f t="shared" si="48"/>
        <v>0</v>
      </c>
      <c r="AN68" s="58">
        <f t="shared" si="66"/>
        <v>0</v>
      </c>
      <c r="AO68" s="58">
        <f t="shared" si="49"/>
        <v>0</v>
      </c>
      <c r="AP68" s="58">
        <f t="shared" si="67"/>
        <v>0</v>
      </c>
      <c r="AQ68" s="58">
        <f t="shared" si="50"/>
        <v>0</v>
      </c>
      <c r="AR68" s="58">
        <f t="shared" si="51"/>
        <v>916.4199999999976</v>
      </c>
      <c r="AS68" s="58">
        <f aca="true" t="shared" si="74" ref="AS68:AS78">IF(V69=1,AR67*K$16*20/36000+AR68*K$16*10/36000,IF(V69=0,IF(V68=0,0,AR68*K$16*AB$16/36000+AR67*K$16*20/36000+AR68*K$16*10/36000)))</f>
        <v>0</v>
      </c>
      <c r="AT68" s="58">
        <f aca="true" t="shared" si="75" ref="AT68:AT78">IF(V69=1,AR67*K$16*20/36000+AR68*K$16*10/36000,IF(V69=0,IF(V68=0,0,AR68*K$16*AB$16/36000+AR67*K$16*20/36000+AR68*K$16*10/36000)))</f>
        <v>0</v>
      </c>
      <c r="AU68" s="59">
        <f t="shared" si="68"/>
        <v>9</v>
      </c>
      <c r="AV68" s="59">
        <f t="shared" si="52"/>
        <v>9</v>
      </c>
      <c r="AW68" s="16">
        <f t="shared" si="69"/>
        <v>2021</v>
      </c>
      <c r="AX68" s="16">
        <f t="shared" si="53"/>
        <v>2021</v>
      </c>
      <c r="AY68" s="16">
        <f t="shared" si="54"/>
        <v>0</v>
      </c>
      <c r="AZ68" s="16">
        <f t="shared" si="55"/>
        <v>30</v>
      </c>
      <c r="BA68" s="16">
        <f t="shared" si="56"/>
        <v>20</v>
      </c>
      <c r="BB68" s="16">
        <f t="shared" si="70"/>
        <v>30</v>
      </c>
      <c r="BC68" s="16"/>
      <c r="BD68" s="16"/>
      <c r="BE68" s="16"/>
      <c r="BF68" s="16"/>
      <c r="BG68" s="16"/>
      <c r="BH68" s="16">
        <f t="shared" si="57"/>
        <v>0</v>
      </c>
      <c r="BI68" s="16"/>
      <c r="BJ68" s="16">
        <f t="shared" si="33"/>
        <v>192.76146333333327</v>
      </c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7"/>
      <c r="BV68" s="17"/>
      <c r="BW68" s="17"/>
      <c r="BX68" s="17"/>
      <c r="BY68" s="17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</row>
    <row r="69" spans="1:150" s="5" customFormat="1" ht="15" customHeight="1">
      <c r="A69" s="11"/>
      <c r="B69" s="11"/>
      <c r="C69" s="60">
        <v>39</v>
      </c>
      <c r="D69" s="60"/>
      <c r="E69" s="60"/>
      <c r="F69" s="169">
        <f aca="true" t="shared" si="76" ref="F69:F78">IF(V69=0,IF(V68=1,"ИТОГО"," "),IF(C$18=H$18+1,IF(U69=C$18,IF(MONTH(F68)=2,IF(DAY(H$21)&gt;29,DATE(YEAR(F68),MONTH(F68),BB69),DATE(YEAR(F68),MONTH(F68),W69)),DATE(YEAR(F68),MONTH(F68),W69)),DATE(YEAR(F68),MONTH(F68)+1,W69)),DATE(YEAR(F68),MONTH(F68)+1,W69)))</f>
        <v>44489</v>
      </c>
      <c r="G69" s="170"/>
      <c r="H69" s="216">
        <f>IF(V69=0,IF(V68=1,SUM(H$31:I68)," "),IF(V69=0," ",IF(V70=1,H$31,IF(V70=0,H$14-H$31*(X$18-1)," "))))</f>
        <v>83.34</v>
      </c>
      <c r="I69" s="216"/>
      <c r="J69" s="151">
        <f>IF(V69=0,IF(V68=1,SUM(J$31:J68)," "),IF(U$1=1,X69,IF(U$1=2,Y69," ")))</f>
        <v>11.922586666666636</v>
      </c>
      <c r="K69" s="151">
        <f>IF(V69=0,IF(V68=1," "," "),IF(U1=1,0,IF(U1=2,0," ")))</f>
        <v>0</v>
      </c>
      <c r="L69" s="151">
        <f t="shared" si="58"/>
        <v>95.26258666666664</v>
      </c>
      <c r="M69" s="21"/>
      <c r="N69" s="120"/>
      <c r="O69" s="120"/>
      <c r="P69" s="120"/>
      <c r="Q69" s="135">
        <f t="shared" si="59"/>
        <v>80</v>
      </c>
      <c r="R69" s="135">
        <f t="shared" si="44"/>
        <v>14.668888888888887</v>
      </c>
      <c r="S69" s="135">
        <v>0</v>
      </c>
      <c r="T69" s="135">
        <f t="shared" si="60"/>
        <v>94.66888888888889</v>
      </c>
      <c r="U69" s="16">
        <v>39</v>
      </c>
      <c r="V69" s="16">
        <f t="shared" si="36"/>
        <v>1</v>
      </c>
      <c r="W69" s="16">
        <f t="shared" si="45"/>
        <v>20</v>
      </c>
      <c r="X69" s="58">
        <f t="shared" si="20"/>
        <v>11.922586666666636</v>
      </c>
      <c r="Y69" s="58">
        <f t="shared" si="21"/>
        <v>11.922586666666636</v>
      </c>
      <c r="Z69" s="58">
        <f t="shared" si="61"/>
        <v>833.0799999999975</v>
      </c>
      <c r="AA69" s="58">
        <f t="shared" si="62"/>
        <v>83.34</v>
      </c>
      <c r="AB69" s="58">
        <f t="shared" si="63"/>
        <v>80</v>
      </c>
      <c r="AC69" s="58">
        <f t="shared" si="71"/>
        <v>11.922586666666636</v>
      </c>
      <c r="AD69" s="58">
        <f t="shared" si="72"/>
        <v>11.922586666666636</v>
      </c>
      <c r="AE69" s="58">
        <f t="shared" si="64"/>
        <v>53.66666666666668</v>
      </c>
      <c r="AF69" s="58">
        <f t="shared" si="65"/>
        <v>50</v>
      </c>
      <c r="AG69" s="58">
        <f t="shared" si="46"/>
        <v>1040</v>
      </c>
      <c r="AH69" s="58">
        <f t="shared" si="73"/>
        <v>14.668888888888887</v>
      </c>
      <c r="AI69" s="58">
        <f t="shared" si="27"/>
        <v>14.668888888888887</v>
      </c>
      <c r="AJ69" s="58">
        <f t="shared" si="37"/>
        <v>26659.199999999924</v>
      </c>
      <c r="AK69" s="58"/>
      <c r="AL69" s="58">
        <f t="shared" si="47"/>
        <v>0</v>
      </c>
      <c r="AM69" s="58">
        <f t="shared" si="48"/>
        <v>0</v>
      </c>
      <c r="AN69" s="58">
        <f t="shared" si="66"/>
        <v>0</v>
      </c>
      <c r="AO69" s="58">
        <f t="shared" si="49"/>
        <v>0</v>
      </c>
      <c r="AP69" s="58">
        <f t="shared" si="67"/>
        <v>0</v>
      </c>
      <c r="AQ69" s="58">
        <f t="shared" si="50"/>
        <v>0</v>
      </c>
      <c r="AR69" s="58">
        <f t="shared" si="51"/>
        <v>833.0799999999975</v>
      </c>
      <c r="AS69" s="58">
        <f t="shared" si="74"/>
        <v>0</v>
      </c>
      <c r="AT69" s="58">
        <f t="shared" si="75"/>
        <v>0</v>
      </c>
      <c r="AU69" s="59">
        <f t="shared" si="68"/>
        <v>10</v>
      </c>
      <c r="AV69" s="59">
        <f t="shared" si="52"/>
        <v>10</v>
      </c>
      <c r="AW69" s="16">
        <f t="shared" si="69"/>
        <v>2021</v>
      </c>
      <c r="AX69" s="16">
        <f t="shared" si="53"/>
        <v>2021</v>
      </c>
      <c r="AY69" s="16">
        <f t="shared" si="54"/>
        <v>0</v>
      </c>
      <c r="AZ69" s="16">
        <f t="shared" si="55"/>
        <v>30</v>
      </c>
      <c r="BA69" s="16">
        <f t="shared" si="56"/>
        <v>20</v>
      </c>
      <c r="BB69" s="16">
        <f t="shared" si="70"/>
        <v>30</v>
      </c>
      <c r="BC69" s="16"/>
      <c r="BD69" s="16"/>
      <c r="BE69" s="16"/>
      <c r="BF69" s="16"/>
      <c r="BG69" s="16"/>
      <c r="BH69" s="16">
        <f t="shared" si="57"/>
        <v>0</v>
      </c>
      <c r="BI69" s="16"/>
      <c r="BJ69" s="16">
        <f t="shared" si="33"/>
        <v>190.52517333333327</v>
      </c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7"/>
      <c r="BV69" s="17"/>
      <c r="BW69" s="17"/>
      <c r="BX69" s="17"/>
      <c r="BY69" s="17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</row>
    <row r="70" spans="1:150" s="5" customFormat="1" ht="15" customHeight="1">
      <c r="A70" s="11"/>
      <c r="B70" s="11"/>
      <c r="C70" s="60">
        <v>40</v>
      </c>
      <c r="D70" s="60"/>
      <c r="E70" s="60"/>
      <c r="F70" s="169">
        <f t="shared" si="76"/>
        <v>44520</v>
      </c>
      <c r="G70" s="170"/>
      <c r="H70" s="216">
        <f>IF(V70=0,IF(V69=1,SUM(H$31:I69)," "),IF(V70=0," ",IF(V71=1,H$31,IF(V71=0,H$14-H$31*(X$18-1)," "))))</f>
        <v>83.34</v>
      </c>
      <c r="I70" s="216"/>
      <c r="J70" s="151">
        <f>IF(V70=0,IF(V69=1,SUM(J$31:J69)," "),IF(U$1=1,X70,IF(U$1=2,Y70," ")))</f>
        <v>10.804441666666635</v>
      </c>
      <c r="K70" s="151">
        <f>IF(V70=0,IF(V69=1," "," "),IF(U1=1,0,IF(U1=2,0," ")))</f>
        <v>0</v>
      </c>
      <c r="L70" s="151">
        <f t="shared" si="58"/>
        <v>94.14444166666664</v>
      </c>
      <c r="M70" s="21"/>
      <c r="N70" s="120"/>
      <c r="O70" s="120"/>
      <c r="P70" s="120"/>
      <c r="Q70" s="135">
        <f t="shared" si="59"/>
        <v>80</v>
      </c>
      <c r="R70" s="135">
        <f t="shared" si="44"/>
        <v>13.595555555555556</v>
      </c>
      <c r="S70" s="135">
        <v>0</v>
      </c>
      <c r="T70" s="135">
        <f t="shared" si="60"/>
        <v>93.59555555555556</v>
      </c>
      <c r="U70" s="16">
        <v>40</v>
      </c>
      <c r="V70" s="16">
        <f t="shared" si="36"/>
        <v>1</v>
      </c>
      <c r="W70" s="16">
        <f t="shared" si="45"/>
        <v>20</v>
      </c>
      <c r="X70" s="58">
        <f t="shared" si="20"/>
        <v>10.804441666666635</v>
      </c>
      <c r="Y70" s="58">
        <f t="shared" si="21"/>
        <v>10.804441666666635</v>
      </c>
      <c r="Z70" s="58">
        <f t="shared" si="61"/>
        <v>749.7399999999975</v>
      </c>
      <c r="AA70" s="58">
        <f t="shared" si="62"/>
        <v>83.34</v>
      </c>
      <c r="AB70" s="58">
        <f t="shared" si="63"/>
        <v>80</v>
      </c>
      <c r="AC70" s="58">
        <f t="shared" si="71"/>
        <v>10.804441666666635</v>
      </c>
      <c r="AD70" s="58">
        <f t="shared" si="72"/>
        <v>10.804441666666635</v>
      </c>
      <c r="AE70" s="58">
        <f t="shared" si="64"/>
        <v>53.66666666666668</v>
      </c>
      <c r="AF70" s="58">
        <f t="shared" si="65"/>
        <v>50</v>
      </c>
      <c r="AG70" s="58">
        <f t="shared" si="46"/>
        <v>960</v>
      </c>
      <c r="AH70" s="58">
        <f t="shared" si="73"/>
        <v>13.595555555555556</v>
      </c>
      <c r="AI70" s="58">
        <f t="shared" si="27"/>
        <v>13.595555555555556</v>
      </c>
      <c r="AJ70" s="58">
        <f t="shared" si="37"/>
        <v>24158.999999999927</v>
      </c>
      <c r="AK70" s="58"/>
      <c r="AL70" s="58">
        <f t="shared" si="47"/>
        <v>0</v>
      </c>
      <c r="AM70" s="58">
        <f t="shared" si="48"/>
        <v>0</v>
      </c>
      <c r="AN70" s="58">
        <f t="shared" si="66"/>
        <v>0</v>
      </c>
      <c r="AO70" s="58">
        <f t="shared" si="49"/>
        <v>0</v>
      </c>
      <c r="AP70" s="58">
        <f t="shared" si="67"/>
        <v>0</v>
      </c>
      <c r="AQ70" s="58">
        <f t="shared" si="50"/>
        <v>0</v>
      </c>
      <c r="AR70" s="58">
        <f t="shared" si="51"/>
        <v>749.7399999999975</v>
      </c>
      <c r="AS70" s="58">
        <f t="shared" si="74"/>
        <v>0</v>
      </c>
      <c r="AT70" s="58">
        <f t="shared" si="75"/>
        <v>0</v>
      </c>
      <c r="AU70" s="59">
        <f t="shared" si="68"/>
        <v>11</v>
      </c>
      <c r="AV70" s="59">
        <f t="shared" si="52"/>
        <v>11</v>
      </c>
      <c r="AW70" s="16">
        <f t="shared" si="69"/>
        <v>2021</v>
      </c>
      <c r="AX70" s="16">
        <f t="shared" si="53"/>
        <v>2021</v>
      </c>
      <c r="AY70" s="16">
        <f t="shared" si="54"/>
        <v>0</v>
      </c>
      <c r="AZ70" s="16">
        <f t="shared" si="55"/>
        <v>30</v>
      </c>
      <c r="BA70" s="16">
        <f t="shared" si="56"/>
        <v>20</v>
      </c>
      <c r="BB70" s="16">
        <f t="shared" si="70"/>
        <v>30</v>
      </c>
      <c r="BC70" s="16"/>
      <c r="BD70" s="16"/>
      <c r="BE70" s="16"/>
      <c r="BF70" s="16"/>
      <c r="BG70" s="16"/>
      <c r="BH70" s="16">
        <f t="shared" si="57"/>
        <v>0</v>
      </c>
      <c r="BI70" s="16"/>
      <c r="BJ70" s="16">
        <f t="shared" si="33"/>
        <v>188.28888333333327</v>
      </c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7"/>
      <c r="BV70" s="17"/>
      <c r="BW70" s="17"/>
      <c r="BX70" s="17"/>
      <c r="BY70" s="17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</row>
    <row r="71" spans="1:150" s="5" customFormat="1" ht="15" customHeight="1">
      <c r="A71" s="11"/>
      <c r="B71" s="11"/>
      <c r="C71" s="60">
        <v>41</v>
      </c>
      <c r="D71" s="60"/>
      <c r="E71" s="60"/>
      <c r="F71" s="169">
        <f t="shared" si="76"/>
        <v>44550</v>
      </c>
      <c r="G71" s="170"/>
      <c r="H71" s="216">
        <f>IF(V71=0,IF(V70=1,SUM(H$31:I70)," "),IF(V71=0," ",IF(V72=1,H$31,IF(V72=0,H$14-H$31*(X$18-1)," "))))</f>
        <v>83.34</v>
      </c>
      <c r="I71" s="216"/>
      <c r="J71" s="151">
        <f>IF(V71=0,IF(V70=1,SUM(J$31:J70)," "),IF(U$1=1,X71,IF(U$1=2,Y71," ")))</f>
        <v>9.686296666666633</v>
      </c>
      <c r="K71" s="151">
        <f>IF(V71=0,IF(V70=1," "," "),IF(U1=1,0,IF(U1=2,0," ")))</f>
        <v>0</v>
      </c>
      <c r="L71" s="151">
        <f t="shared" si="58"/>
        <v>93.02629666666664</v>
      </c>
      <c r="M71" s="21"/>
      <c r="N71" s="120"/>
      <c r="O71" s="120"/>
      <c r="P71" s="120"/>
      <c r="Q71" s="135">
        <f t="shared" si="59"/>
        <v>80</v>
      </c>
      <c r="R71" s="135">
        <f t="shared" si="44"/>
        <v>12.522222222222224</v>
      </c>
      <c r="S71" s="135">
        <v>0</v>
      </c>
      <c r="T71" s="135">
        <f t="shared" si="60"/>
        <v>92.52222222222223</v>
      </c>
      <c r="U71" s="16">
        <v>41</v>
      </c>
      <c r="V71" s="16">
        <f t="shared" si="36"/>
        <v>1</v>
      </c>
      <c r="W71" s="16">
        <f t="shared" si="45"/>
        <v>20</v>
      </c>
      <c r="X71" s="58">
        <f t="shared" si="20"/>
        <v>9.686296666666633</v>
      </c>
      <c r="Y71" s="58">
        <f t="shared" si="21"/>
        <v>9.686296666666633</v>
      </c>
      <c r="Z71" s="58">
        <f t="shared" si="61"/>
        <v>666.3999999999975</v>
      </c>
      <c r="AA71" s="58">
        <f t="shared" si="62"/>
        <v>83.34</v>
      </c>
      <c r="AB71" s="58">
        <f t="shared" si="63"/>
        <v>80</v>
      </c>
      <c r="AC71" s="58">
        <f t="shared" si="71"/>
        <v>9.686296666666633</v>
      </c>
      <c r="AD71" s="58">
        <f t="shared" si="72"/>
        <v>9.686296666666633</v>
      </c>
      <c r="AE71" s="58">
        <f t="shared" si="64"/>
        <v>53.66666666666668</v>
      </c>
      <c r="AF71" s="58">
        <f t="shared" si="65"/>
        <v>50</v>
      </c>
      <c r="AG71" s="58">
        <f t="shared" si="46"/>
        <v>880</v>
      </c>
      <c r="AH71" s="58">
        <f t="shared" si="73"/>
        <v>12.522222222222224</v>
      </c>
      <c r="AI71" s="58">
        <f t="shared" si="27"/>
        <v>12.522222222222224</v>
      </c>
      <c r="AJ71" s="58">
        <f t="shared" si="37"/>
        <v>21658.799999999923</v>
      </c>
      <c r="AK71" s="58"/>
      <c r="AL71" s="58">
        <f t="shared" si="47"/>
        <v>0</v>
      </c>
      <c r="AM71" s="58">
        <f t="shared" si="48"/>
        <v>0</v>
      </c>
      <c r="AN71" s="58">
        <f t="shared" si="66"/>
        <v>0</v>
      </c>
      <c r="AO71" s="58">
        <f t="shared" si="49"/>
        <v>0</v>
      </c>
      <c r="AP71" s="58">
        <f t="shared" si="67"/>
        <v>0</v>
      </c>
      <c r="AQ71" s="58">
        <f t="shared" si="50"/>
        <v>0</v>
      </c>
      <c r="AR71" s="58">
        <f t="shared" si="51"/>
        <v>666.3999999999975</v>
      </c>
      <c r="AS71" s="58">
        <f t="shared" si="74"/>
        <v>0</v>
      </c>
      <c r="AT71" s="58">
        <f t="shared" si="75"/>
        <v>0</v>
      </c>
      <c r="AU71" s="59">
        <f t="shared" si="68"/>
        <v>12</v>
      </c>
      <c r="AV71" s="59">
        <f t="shared" si="52"/>
        <v>12</v>
      </c>
      <c r="AW71" s="16">
        <f t="shared" si="69"/>
        <v>2021</v>
      </c>
      <c r="AX71" s="16">
        <f t="shared" si="53"/>
        <v>2021</v>
      </c>
      <c r="AY71" s="16">
        <f t="shared" si="54"/>
        <v>0</v>
      </c>
      <c r="AZ71" s="16">
        <f t="shared" si="55"/>
        <v>30</v>
      </c>
      <c r="BA71" s="16">
        <f t="shared" si="56"/>
        <v>20</v>
      </c>
      <c r="BB71" s="16">
        <f t="shared" si="70"/>
        <v>30</v>
      </c>
      <c r="BC71" s="16"/>
      <c r="BD71" s="16"/>
      <c r="BE71" s="16"/>
      <c r="BF71" s="16"/>
      <c r="BG71" s="16"/>
      <c r="BH71" s="16">
        <f t="shared" si="57"/>
        <v>0</v>
      </c>
      <c r="BI71" s="16"/>
      <c r="BJ71" s="16">
        <f t="shared" si="33"/>
        <v>186.05259333333328</v>
      </c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7"/>
      <c r="BV71" s="17"/>
      <c r="BW71" s="17"/>
      <c r="BX71" s="17"/>
      <c r="BY71" s="17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</row>
    <row r="72" spans="1:150" s="5" customFormat="1" ht="15" customHeight="1">
      <c r="A72" s="11"/>
      <c r="B72" s="11"/>
      <c r="C72" s="60">
        <v>42</v>
      </c>
      <c r="D72" s="60"/>
      <c r="E72" s="60"/>
      <c r="F72" s="169">
        <f t="shared" si="76"/>
        <v>44581</v>
      </c>
      <c r="G72" s="170"/>
      <c r="H72" s="216">
        <f>IF(V72=0,IF(V71=1,SUM(H$31:I71)," "),IF(V72=0," ",IF(V73=1,H$31,IF(V73=0,H$14-H$31*(X$18-1)," "))))</f>
        <v>83.34</v>
      </c>
      <c r="I72" s="216"/>
      <c r="J72" s="151">
        <f>IF(V72=0,IF(V71=1,SUM(J$31:J71)," "),IF(U$1=1,X72,IF(U$1=2,Y72," ")))</f>
        <v>8.568151666666633</v>
      </c>
      <c r="K72" s="151">
        <f>IF(V72=0,IF(V71=1," "," "),IF(U1=1,0,IF(U1=2,0," ")))</f>
        <v>0</v>
      </c>
      <c r="L72" s="151">
        <f t="shared" si="58"/>
        <v>91.90815166666664</v>
      </c>
      <c r="M72" s="21"/>
      <c r="N72" s="120"/>
      <c r="O72" s="120"/>
      <c r="P72" s="120"/>
      <c r="Q72" s="135">
        <f t="shared" si="59"/>
        <v>80</v>
      </c>
      <c r="R72" s="135">
        <f t="shared" si="44"/>
        <v>11.448888888888892</v>
      </c>
      <c r="S72" s="135">
        <v>0</v>
      </c>
      <c r="T72" s="135">
        <f t="shared" si="60"/>
        <v>91.44888888888889</v>
      </c>
      <c r="U72" s="16">
        <v>42</v>
      </c>
      <c r="V72" s="16">
        <f t="shared" si="36"/>
        <v>1</v>
      </c>
      <c r="W72" s="16">
        <f t="shared" si="45"/>
        <v>20</v>
      </c>
      <c r="X72" s="58">
        <f t="shared" si="20"/>
        <v>8.568151666666633</v>
      </c>
      <c r="Y72" s="58">
        <f t="shared" si="21"/>
        <v>8.568151666666633</v>
      </c>
      <c r="Z72" s="58">
        <f t="shared" si="61"/>
        <v>583.0599999999974</v>
      </c>
      <c r="AA72" s="58">
        <f t="shared" si="62"/>
        <v>83.34</v>
      </c>
      <c r="AB72" s="58">
        <f t="shared" si="63"/>
        <v>80</v>
      </c>
      <c r="AC72" s="58">
        <f t="shared" si="71"/>
        <v>8.568151666666633</v>
      </c>
      <c r="AD72" s="58">
        <f t="shared" si="72"/>
        <v>8.568151666666633</v>
      </c>
      <c r="AE72" s="58">
        <f t="shared" si="64"/>
        <v>53.66666666666668</v>
      </c>
      <c r="AF72" s="58">
        <f t="shared" si="65"/>
        <v>50</v>
      </c>
      <c r="AG72" s="58">
        <f t="shared" si="46"/>
        <v>800</v>
      </c>
      <c r="AH72" s="58">
        <f t="shared" si="73"/>
        <v>11.448888888888892</v>
      </c>
      <c r="AI72" s="58">
        <f t="shared" si="27"/>
        <v>11.448888888888892</v>
      </c>
      <c r="AJ72" s="58">
        <f t="shared" si="37"/>
        <v>19158.599999999926</v>
      </c>
      <c r="AK72" s="58"/>
      <c r="AL72" s="58">
        <f t="shared" si="47"/>
        <v>0</v>
      </c>
      <c r="AM72" s="58">
        <f t="shared" si="48"/>
        <v>0</v>
      </c>
      <c r="AN72" s="58">
        <f t="shared" si="66"/>
        <v>0</v>
      </c>
      <c r="AO72" s="58">
        <f t="shared" si="49"/>
        <v>0</v>
      </c>
      <c r="AP72" s="58">
        <f t="shared" si="67"/>
        <v>0</v>
      </c>
      <c r="AQ72" s="58">
        <f t="shared" si="50"/>
        <v>0</v>
      </c>
      <c r="AR72" s="58">
        <f t="shared" si="51"/>
        <v>583.0599999999974</v>
      </c>
      <c r="AS72" s="58">
        <f t="shared" si="74"/>
        <v>0</v>
      </c>
      <c r="AT72" s="58">
        <f t="shared" si="75"/>
        <v>0</v>
      </c>
      <c r="AU72" s="59">
        <f t="shared" si="68"/>
        <v>13</v>
      </c>
      <c r="AV72" s="59">
        <f t="shared" si="52"/>
        <v>1</v>
      </c>
      <c r="AW72" s="16">
        <f t="shared" si="69"/>
        <v>2021</v>
      </c>
      <c r="AX72" s="16">
        <f t="shared" si="53"/>
        <v>2022</v>
      </c>
      <c r="AY72" s="16">
        <f t="shared" si="54"/>
        <v>0</v>
      </c>
      <c r="AZ72" s="16">
        <f t="shared" si="55"/>
        <v>30</v>
      </c>
      <c r="BA72" s="16">
        <f t="shared" si="56"/>
        <v>20</v>
      </c>
      <c r="BB72" s="16">
        <f t="shared" si="70"/>
        <v>30</v>
      </c>
      <c r="BC72" s="16"/>
      <c r="BD72" s="16"/>
      <c r="BE72" s="16"/>
      <c r="BF72" s="16"/>
      <c r="BG72" s="16"/>
      <c r="BH72" s="16">
        <f t="shared" si="57"/>
        <v>0</v>
      </c>
      <c r="BI72" s="16"/>
      <c r="BJ72" s="16">
        <f t="shared" si="33"/>
        <v>183.81630333333328</v>
      </c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7"/>
      <c r="BV72" s="17"/>
      <c r="BW72" s="17"/>
      <c r="BX72" s="17"/>
      <c r="BY72" s="17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</row>
    <row r="73" spans="1:150" s="5" customFormat="1" ht="15" customHeight="1">
      <c r="A73" s="11"/>
      <c r="B73" s="11"/>
      <c r="C73" s="60">
        <v>43</v>
      </c>
      <c r="D73" s="60"/>
      <c r="E73" s="60"/>
      <c r="F73" s="169">
        <f t="shared" si="76"/>
        <v>44612</v>
      </c>
      <c r="G73" s="170"/>
      <c r="H73" s="216">
        <f>IF(V73=0,IF(V72=1,SUM(H$31:I72)," "),IF(V73=0," ",IF(V74=1,H$31,IF(V74=0,H$14-H$31*(X$18-1)," "))))</f>
        <v>83.34</v>
      </c>
      <c r="I73" s="216"/>
      <c r="J73" s="151">
        <f>IF(V73=0,IF(V72=1,SUM(J$31:J72)," "),IF(U$1=1,X73,IF(U$1=2,Y73," ")))</f>
        <v>7.450006666666633</v>
      </c>
      <c r="K73" s="151">
        <f>IF(V73=0,IF(V72=1," "," "),IF(U1=1,0,IF(U1=2,0," ")))</f>
        <v>0</v>
      </c>
      <c r="L73" s="151">
        <f t="shared" si="58"/>
        <v>90.79000666666664</v>
      </c>
      <c r="M73" s="21"/>
      <c r="N73" s="120"/>
      <c r="O73" s="120"/>
      <c r="P73" s="120"/>
      <c r="Q73" s="135">
        <f t="shared" si="59"/>
        <v>80</v>
      </c>
      <c r="R73" s="135">
        <f t="shared" si="44"/>
        <v>10.375555555555557</v>
      </c>
      <c r="S73" s="135">
        <v>0</v>
      </c>
      <c r="T73" s="135">
        <f t="shared" si="60"/>
        <v>90.37555555555556</v>
      </c>
      <c r="U73" s="16">
        <v>43</v>
      </c>
      <c r="V73" s="16">
        <f t="shared" si="36"/>
        <v>1</v>
      </c>
      <c r="W73" s="16">
        <f t="shared" si="45"/>
        <v>20</v>
      </c>
      <c r="X73" s="58">
        <f t="shared" si="20"/>
        <v>7.450006666666633</v>
      </c>
      <c r="Y73" s="58">
        <f t="shared" si="21"/>
        <v>7.450006666666633</v>
      </c>
      <c r="Z73" s="58">
        <f t="shared" si="61"/>
        <v>499.7199999999974</v>
      </c>
      <c r="AA73" s="58">
        <f t="shared" si="62"/>
        <v>83.34</v>
      </c>
      <c r="AB73" s="58">
        <f t="shared" si="63"/>
        <v>80</v>
      </c>
      <c r="AC73" s="58">
        <f t="shared" si="71"/>
        <v>7.450006666666633</v>
      </c>
      <c r="AD73" s="58">
        <f t="shared" si="72"/>
        <v>7.450006666666633</v>
      </c>
      <c r="AE73" s="58">
        <f t="shared" si="64"/>
        <v>53.66666666666668</v>
      </c>
      <c r="AF73" s="58">
        <f t="shared" si="65"/>
        <v>50</v>
      </c>
      <c r="AG73" s="58">
        <f t="shared" si="46"/>
        <v>720</v>
      </c>
      <c r="AH73" s="58">
        <f t="shared" si="73"/>
        <v>10.375555555555557</v>
      </c>
      <c r="AI73" s="58">
        <f t="shared" si="27"/>
        <v>10.375555555555557</v>
      </c>
      <c r="AJ73" s="58">
        <f t="shared" si="37"/>
        <v>16658.399999999925</v>
      </c>
      <c r="AK73" s="58"/>
      <c r="AL73" s="58">
        <f t="shared" si="47"/>
        <v>0</v>
      </c>
      <c r="AM73" s="58">
        <f t="shared" si="48"/>
        <v>0</v>
      </c>
      <c r="AN73" s="58">
        <f t="shared" si="66"/>
        <v>0</v>
      </c>
      <c r="AO73" s="58">
        <f t="shared" si="49"/>
        <v>0</v>
      </c>
      <c r="AP73" s="58">
        <f t="shared" si="67"/>
        <v>0</v>
      </c>
      <c r="AQ73" s="58">
        <f t="shared" si="50"/>
        <v>0</v>
      </c>
      <c r="AR73" s="58">
        <f t="shared" si="51"/>
        <v>499.7199999999974</v>
      </c>
      <c r="AS73" s="58">
        <f t="shared" si="74"/>
        <v>0</v>
      </c>
      <c r="AT73" s="58">
        <f t="shared" si="75"/>
        <v>0</v>
      </c>
      <c r="AU73" s="59">
        <f t="shared" si="68"/>
        <v>2</v>
      </c>
      <c r="AV73" s="59">
        <f t="shared" si="52"/>
        <v>2</v>
      </c>
      <c r="AW73" s="16">
        <f t="shared" si="69"/>
        <v>2022</v>
      </c>
      <c r="AX73" s="16">
        <f t="shared" si="53"/>
        <v>2022</v>
      </c>
      <c r="AY73" s="16">
        <f t="shared" si="54"/>
        <v>0</v>
      </c>
      <c r="AZ73" s="16">
        <f t="shared" si="55"/>
        <v>28</v>
      </c>
      <c r="BA73" s="16">
        <f t="shared" si="56"/>
        <v>20</v>
      </c>
      <c r="BB73" s="16">
        <f t="shared" si="70"/>
        <v>30</v>
      </c>
      <c r="BC73" s="16"/>
      <c r="BD73" s="16"/>
      <c r="BE73" s="16"/>
      <c r="BF73" s="16"/>
      <c r="BG73" s="16"/>
      <c r="BH73" s="16">
        <f t="shared" si="57"/>
        <v>0</v>
      </c>
      <c r="BI73" s="16"/>
      <c r="BJ73" s="16">
        <f t="shared" si="33"/>
        <v>181.58001333333328</v>
      </c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7"/>
      <c r="BV73" s="17"/>
      <c r="BW73" s="17"/>
      <c r="BX73" s="17"/>
      <c r="BY73" s="17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</row>
    <row r="74" spans="1:150" s="5" customFormat="1" ht="15" customHeight="1">
      <c r="A74" s="11"/>
      <c r="B74" s="11"/>
      <c r="C74" s="60">
        <v>44</v>
      </c>
      <c r="D74" s="60"/>
      <c r="E74" s="60"/>
      <c r="F74" s="169">
        <f t="shared" si="76"/>
        <v>44640</v>
      </c>
      <c r="G74" s="170"/>
      <c r="H74" s="216">
        <f>IF(V74=0,IF(V73=1,SUM(H$31:I73)," "),IF(V74=0," ",IF(V75=1,H$31,IF(V75=0,H$14-H$31*(X$18-1)," "))))</f>
        <v>83.34</v>
      </c>
      <c r="I74" s="216"/>
      <c r="J74" s="151">
        <f>IF(V74=0,IF(V73=1,SUM(J$31:J73)," "),IF(U$1=1,X74,IF(U$1=2,Y74," ")))</f>
        <v>6.331861666666633</v>
      </c>
      <c r="K74" s="151">
        <f>IF(V74=0,IF(V73=1," "," "),IF(U1=1,0,IF(U1=2,0," ")))</f>
        <v>0</v>
      </c>
      <c r="L74" s="151">
        <f t="shared" si="58"/>
        <v>89.67186166666664</v>
      </c>
      <c r="M74" s="21"/>
      <c r="N74" s="120"/>
      <c r="O74" s="120"/>
      <c r="P74" s="120"/>
      <c r="Q74" s="135">
        <f t="shared" si="59"/>
        <v>80</v>
      </c>
      <c r="R74" s="135">
        <f t="shared" si="44"/>
        <v>9.302222222222223</v>
      </c>
      <c r="S74" s="135">
        <v>0</v>
      </c>
      <c r="T74" s="135">
        <f t="shared" si="60"/>
        <v>89.30222222222223</v>
      </c>
      <c r="U74" s="16">
        <v>44</v>
      </c>
      <c r="V74" s="16">
        <f t="shared" si="36"/>
        <v>1</v>
      </c>
      <c r="W74" s="16">
        <f t="shared" si="45"/>
        <v>20</v>
      </c>
      <c r="X74" s="58">
        <f t="shared" si="20"/>
        <v>6.331861666666633</v>
      </c>
      <c r="Y74" s="58">
        <f t="shared" si="21"/>
        <v>6.331861666666633</v>
      </c>
      <c r="Z74" s="58">
        <f t="shared" si="61"/>
        <v>416.3799999999974</v>
      </c>
      <c r="AA74" s="58">
        <f t="shared" si="62"/>
        <v>83.34</v>
      </c>
      <c r="AB74" s="58">
        <f t="shared" si="63"/>
        <v>80</v>
      </c>
      <c r="AC74" s="58">
        <f t="shared" si="71"/>
        <v>6.331861666666633</v>
      </c>
      <c r="AD74" s="58">
        <f t="shared" si="72"/>
        <v>6.331861666666633</v>
      </c>
      <c r="AE74" s="58">
        <f t="shared" si="64"/>
        <v>53.66666666666668</v>
      </c>
      <c r="AF74" s="58">
        <f t="shared" si="65"/>
        <v>50</v>
      </c>
      <c r="AG74" s="58">
        <f t="shared" si="46"/>
        <v>640</v>
      </c>
      <c r="AH74" s="58">
        <f t="shared" si="73"/>
        <v>9.302222222222223</v>
      </c>
      <c r="AI74" s="58">
        <f t="shared" si="27"/>
        <v>9.302222222222223</v>
      </c>
      <c r="AJ74" s="58">
        <f t="shared" si="37"/>
        <v>14158.199999999923</v>
      </c>
      <c r="AK74" s="58"/>
      <c r="AL74" s="58">
        <f t="shared" si="47"/>
        <v>0</v>
      </c>
      <c r="AM74" s="58">
        <f t="shared" si="48"/>
        <v>0</v>
      </c>
      <c r="AN74" s="58">
        <f t="shared" si="66"/>
        <v>0</v>
      </c>
      <c r="AO74" s="58">
        <f t="shared" si="49"/>
        <v>0</v>
      </c>
      <c r="AP74" s="58">
        <f t="shared" si="67"/>
        <v>0</v>
      </c>
      <c r="AQ74" s="58">
        <f t="shared" si="50"/>
        <v>0</v>
      </c>
      <c r="AR74" s="58">
        <f t="shared" si="51"/>
        <v>416.3799999999974</v>
      </c>
      <c r="AS74" s="58">
        <f t="shared" si="74"/>
        <v>0</v>
      </c>
      <c r="AT74" s="58">
        <f t="shared" si="75"/>
        <v>0</v>
      </c>
      <c r="AU74" s="59">
        <f t="shared" si="68"/>
        <v>3</v>
      </c>
      <c r="AV74" s="59">
        <f t="shared" si="52"/>
        <v>3</v>
      </c>
      <c r="AW74" s="16">
        <f t="shared" si="69"/>
        <v>2022</v>
      </c>
      <c r="AX74" s="16">
        <f t="shared" si="53"/>
        <v>2022</v>
      </c>
      <c r="AY74" s="16">
        <f t="shared" si="54"/>
        <v>0</v>
      </c>
      <c r="AZ74" s="16">
        <f t="shared" si="55"/>
        <v>30</v>
      </c>
      <c r="BA74" s="16">
        <f t="shared" si="56"/>
        <v>20</v>
      </c>
      <c r="BB74" s="16">
        <f t="shared" si="70"/>
        <v>28</v>
      </c>
      <c r="BC74" s="16"/>
      <c r="BD74" s="16"/>
      <c r="BE74" s="16"/>
      <c r="BF74" s="16"/>
      <c r="BG74" s="16"/>
      <c r="BH74" s="16">
        <f t="shared" si="57"/>
        <v>0</v>
      </c>
      <c r="BI74" s="16"/>
      <c r="BJ74" s="16">
        <f t="shared" si="33"/>
        <v>179.3437233333333</v>
      </c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7"/>
      <c r="BV74" s="17"/>
      <c r="BW74" s="17"/>
      <c r="BX74" s="17"/>
      <c r="BY74" s="17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</row>
    <row r="75" spans="1:150" s="5" customFormat="1" ht="15" customHeight="1">
      <c r="A75" s="11"/>
      <c r="B75" s="11"/>
      <c r="C75" s="60">
        <v>45</v>
      </c>
      <c r="D75" s="60"/>
      <c r="E75" s="60"/>
      <c r="F75" s="169">
        <f t="shared" si="76"/>
        <v>44671</v>
      </c>
      <c r="G75" s="170"/>
      <c r="H75" s="216">
        <f>IF(V75=0,IF(V74=1,SUM(H$31:I74)," "),IF(V75=0," ",IF(V76=1,H$31,IF(V76=0,H$14-H$31*(X$18-1)," "))))</f>
        <v>83.34</v>
      </c>
      <c r="I75" s="216"/>
      <c r="J75" s="151">
        <f>IF(V75=0,IF(V74=1,SUM(J$31:J74)," "),IF(U$1=1,X75,IF(U$1=2,Y75," ")))</f>
        <v>5.213716666666632</v>
      </c>
      <c r="K75" s="151">
        <f>IF(V75=0,IF(V74=1," "," "),IF(U1=1,0,IF(U1=2,0," ")))</f>
        <v>0</v>
      </c>
      <c r="L75" s="151">
        <f t="shared" si="58"/>
        <v>88.55371666666663</v>
      </c>
      <c r="M75" s="21"/>
      <c r="N75" s="120"/>
      <c r="O75" s="120"/>
      <c r="P75" s="120"/>
      <c r="Q75" s="135">
        <f t="shared" si="59"/>
        <v>80</v>
      </c>
      <c r="R75" s="135">
        <f t="shared" si="44"/>
        <v>8.22888888888889</v>
      </c>
      <c r="S75" s="135">
        <v>0</v>
      </c>
      <c r="T75" s="135">
        <f t="shared" si="60"/>
        <v>88.22888888888889</v>
      </c>
      <c r="U75" s="16">
        <v>45</v>
      </c>
      <c r="V75" s="16">
        <f t="shared" si="36"/>
        <v>1</v>
      </c>
      <c r="W75" s="16">
        <f t="shared" si="45"/>
        <v>20</v>
      </c>
      <c r="X75" s="58">
        <f t="shared" si="20"/>
        <v>5.213716666666632</v>
      </c>
      <c r="Y75" s="58">
        <f t="shared" si="21"/>
        <v>5.213716666666632</v>
      </c>
      <c r="Z75" s="58">
        <f t="shared" si="61"/>
        <v>333.03999999999735</v>
      </c>
      <c r="AA75" s="58">
        <f t="shared" si="62"/>
        <v>83.34</v>
      </c>
      <c r="AB75" s="58">
        <f t="shared" si="63"/>
        <v>80</v>
      </c>
      <c r="AC75" s="58">
        <f t="shared" si="71"/>
        <v>5.213716666666632</v>
      </c>
      <c r="AD75" s="58">
        <f t="shared" si="72"/>
        <v>5.213716666666632</v>
      </c>
      <c r="AE75" s="58">
        <f t="shared" si="64"/>
        <v>53.66666666666668</v>
      </c>
      <c r="AF75" s="58">
        <f t="shared" si="65"/>
        <v>50</v>
      </c>
      <c r="AG75" s="58">
        <f t="shared" si="46"/>
        <v>560</v>
      </c>
      <c r="AH75" s="58">
        <f t="shared" si="73"/>
        <v>8.22888888888889</v>
      </c>
      <c r="AI75" s="58">
        <f t="shared" si="27"/>
        <v>8.22888888888889</v>
      </c>
      <c r="AJ75" s="58">
        <f t="shared" si="37"/>
        <v>11657.99999999992</v>
      </c>
      <c r="AK75" s="58"/>
      <c r="AL75" s="58">
        <f t="shared" si="47"/>
        <v>0</v>
      </c>
      <c r="AM75" s="58">
        <f t="shared" si="48"/>
        <v>0</v>
      </c>
      <c r="AN75" s="58">
        <f t="shared" si="66"/>
        <v>0</v>
      </c>
      <c r="AO75" s="58">
        <f t="shared" si="49"/>
        <v>0</v>
      </c>
      <c r="AP75" s="58">
        <f t="shared" si="67"/>
        <v>0</v>
      </c>
      <c r="AQ75" s="58">
        <f t="shared" si="50"/>
        <v>0</v>
      </c>
      <c r="AR75" s="58">
        <f t="shared" si="51"/>
        <v>333.03999999999735</v>
      </c>
      <c r="AS75" s="58">
        <f t="shared" si="74"/>
        <v>0</v>
      </c>
      <c r="AT75" s="58">
        <f t="shared" si="75"/>
        <v>0</v>
      </c>
      <c r="AU75" s="59">
        <f t="shared" si="68"/>
        <v>4</v>
      </c>
      <c r="AV75" s="59">
        <f t="shared" si="52"/>
        <v>4</v>
      </c>
      <c r="AW75" s="16">
        <f t="shared" si="69"/>
        <v>2022</v>
      </c>
      <c r="AX75" s="16">
        <f t="shared" si="53"/>
        <v>2022</v>
      </c>
      <c r="AY75" s="16">
        <f t="shared" si="54"/>
        <v>0</v>
      </c>
      <c r="AZ75" s="16">
        <f t="shared" si="55"/>
        <v>30</v>
      </c>
      <c r="BA75" s="16">
        <f t="shared" si="56"/>
        <v>20</v>
      </c>
      <c r="BB75" s="16">
        <f t="shared" si="70"/>
        <v>30</v>
      </c>
      <c r="BC75" s="16"/>
      <c r="BD75" s="16"/>
      <c r="BE75" s="16"/>
      <c r="BF75" s="16"/>
      <c r="BG75" s="16"/>
      <c r="BH75" s="16">
        <f t="shared" si="57"/>
        <v>0</v>
      </c>
      <c r="BI75" s="16"/>
      <c r="BJ75" s="16">
        <f t="shared" si="33"/>
        <v>177.10743333333326</v>
      </c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7"/>
      <c r="BV75" s="17"/>
      <c r="BW75" s="17"/>
      <c r="BX75" s="17"/>
      <c r="BY75" s="17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</row>
    <row r="76" spans="1:150" s="5" customFormat="1" ht="15" customHeight="1">
      <c r="A76" s="11"/>
      <c r="B76" s="11"/>
      <c r="C76" s="60">
        <v>46</v>
      </c>
      <c r="D76" s="60"/>
      <c r="E76" s="60"/>
      <c r="F76" s="169">
        <f t="shared" si="76"/>
        <v>44701</v>
      </c>
      <c r="G76" s="170"/>
      <c r="H76" s="216">
        <f>IF(V76=0,IF(V75=1,SUM(H$31:I75)," "),IF(V76=0," ",IF(V77=1,H$31,IF(V77=0,H$14-H$31*(X$18-1)," "))))</f>
        <v>83.34</v>
      </c>
      <c r="I76" s="216"/>
      <c r="J76" s="151">
        <f>IF(V76=0,IF(V75=1,SUM(J$31:J75)," "),IF(U$1=1,X76,IF(U$1=2,Y76," ")))</f>
        <v>4.095571666666631</v>
      </c>
      <c r="K76" s="151">
        <f>IF(V76=0,IF(V75=1," "," "),IF(U1=1,0,IF(U1=2,0," ")))</f>
        <v>0</v>
      </c>
      <c r="L76" s="151">
        <f t="shared" si="58"/>
        <v>87.43557166666663</v>
      </c>
      <c r="M76" s="21"/>
      <c r="N76" s="120"/>
      <c r="O76" s="120"/>
      <c r="P76" s="120"/>
      <c r="Q76" s="135">
        <f t="shared" si="59"/>
        <v>80</v>
      </c>
      <c r="R76" s="135">
        <f t="shared" si="44"/>
        <v>7.155555555555555</v>
      </c>
      <c r="S76" s="135">
        <v>0</v>
      </c>
      <c r="T76" s="135">
        <f t="shared" si="60"/>
        <v>87.15555555555555</v>
      </c>
      <c r="U76" s="16">
        <v>46</v>
      </c>
      <c r="V76" s="16">
        <f t="shared" si="36"/>
        <v>1</v>
      </c>
      <c r="W76" s="16">
        <f t="shared" si="45"/>
        <v>20</v>
      </c>
      <c r="X76" s="58">
        <f t="shared" si="20"/>
        <v>4.095571666666631</v>
      </c>
      <c r="Y76" s="58">
        <f t="shared" si="21"/>
        <v>4.095571666666631</v>
      </c>
      <c r="Z76" s="58">
        <f t="shared" si="61"/>
        <v>249.69999999999735</v>
      </c>
      <c r="AA76" s="58">
        <f t="shared" si="62"/>
        <v>83.34</v>
      </c>
      <c r="AB76" s="58">
        <f t="shared" si="63"/>
        <v>80</v>
      </c>
      <c r="AC76" s="58">
        <f t="shared" si="71"/>
        <v>4.095571666666631</v>
      </c>
      <c r="AD76" s="58">
        <f t="shared" si="72"/>
        <v>4.095571666666631</v>
      </c>
      <c r="AE76" s="58">
        <f t="shared" si="64"/>
        <v>53.66666666666668</v>
      </c>
      <c r="AF76" s="58">
        <f t="shared" si="65"/>
        <v>50</v>
      </c>
      <c r="AG76" s="58">
        <f t="shared" si="46"/>
        <v>480</v>
      </c>
      <c r="AH76" s="58">
        <f t="shared" si="73"/>
        <v>7.155555555555555</v>
      </c>
      <c r="AI76" s="58">
        <f t="shared" si="27"/>
        <v>7.155555555555555</v>
      </c>
      <c r="AJ76" s="58">
        <f t="shared" si="37"/>
        <v>9157.79999999992</v>
      </c>
      <c r="AK76" s="58"/>
      <c r="AL76" s="58">
        <f t="shared" si="47"/>
        <v>0</v>
      </c>
      <c r="AM76" s="58">
        <f t="shared" si="48"/>
        <v>0</v>
      </c>
      <c r="AN76" s="58">
        <f t="shared" si="66"/>
        <v>0</v>
      </c>
      <c r="AO76" s="58">
        <f t="shared" si="49"/>
        <v>0</v>
      </c>
      <c r="AP76" s="58">
        <f t="shared" si="67"/>
        <v>0</v>
      </c>
      <c r="AQ76" s="58">
        <f t="shared" si="50"/>
        <v>0</v>
      </c>
      <c r="AR76" s="58">
        <f t="shared" si="51"/>
        <v>249.69999999999735</v>
      </c>
      <c r="AS76" s="58">
        <f t="shared" si="74"/>
        <v>0</v>
      </c>
      <c r="AT76" s="58">
        <f t="shared" si="75"/>
        <v>0</v>
      </c>
      <c r="AU76" s="59">
        <f t="shared" si="68"/>
        <v>5</v>
      </c>
      <c r="AV76" s="59">
        <f t="shared" si="52"/>
        <v>5</v>
      </c>
      <c r="AW76" s="16">
        <f t="shared" si="69"/>
        <v>2022</v>
      </c>
      <c r="AX76" s="16">
        <f t="shared" si="53"/>
        <v>2022</v>
      </c>
      <c r="AY76" s="16">
        <f t="shared" si="54"/>
        <v>0</v>
      </c>
      <c r="AZ76" s="16">
        <f t="shared" si="55"/>
        <v>30</v>
      </c>
      <c r="BA76" s="16">
        <f t="shared" si="56"/>
        <v>20</v>
      </c>
      <c r="BB76" s="16">
        <f t="shared" si="70"/>
        <v>30</v>
      </c>
      <c r="BC76" s="16"/>
      <c r="BD76" s="16"/>
      <c r="BE76" s="16"/>
      <c r="BF76" s="16"/>
      <c r="BG76" s="16"/>
      <c r="BH76" s="16">
        <f t="shared" si="57"/>
        <v>0</v>
      </c>
      <c r="BI76" s="16"/>
      <c r="BJ76" s="16">
        <f t="shared" si="33"/>
        <v>174.87114333333326</v>
      </c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7"/>
      <c r="BV76" s="17"/>
      <c r="BW76" s="17"/>
      <c r="BX76" s="17"/>
      <c r="BY76" s="17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</row>
    <row r="77" spans="1:150" s="5" customFormat="1" ht="15" customHeight="1">
      <c r="A77" s="11"/>
      <c r="B77" s="11"/>
      <c r="C77" s="60">
        <v>47</v>
      </c>
      <c r="D77" s="60"/>
      <c r="E77" s="60"/>
      <c r="F77" s="169">
        <f t="shared" si="76"/>
        <v>44732</v>
      </c>
      <c r="G77" s="170"/>
      <c r="H77" s="216">
        <f>IF(V77=0,IF(V76=1,SUM(H$31:I76)," "),IF(V77=0," ",IF(V78=1,H$31,IF(V78=0,H$14-H$31*(X$18-1)," "))))</f>
        <v>83.34</v>
      </c>
      <c r="I77" s="216"/>
      <c r="J77" s="151">
        <f>IF(V77=0,IF(V76=1,SUM(J$31:J76)," "),IF(U$1=1,X77,IF(U$1=2,Y77," ")))</f>
        <v>2.977426666666631</v>
      </c>
      <c r="K77" s="151">
        <f>IF(V77=0,IF(V76=1," "," "),IF(U1=1,0,IF(U1=2,0," ")))</f>
        <v>0</v>
      </c>
      <c r="L77" s="151">
        <f t="shared" si="58"/>
        <v>86.31742666666663</v>
      </c>
      <c r="M77" s="21"/>
      <c r="N77" s="120"/>
      <c r="O77" s="120"/>
      <c r="P77" s="120"/>
      <c r="Q77" s="135">
        <f t="shared" si="59"/>
        <v>80</v>
      </c>
      <c r="R77" s="135">
        <f t="shared" si="44"/>
        <v>6.082222222222223</v>
      </c>
      <c r="S77" s="135">
        <v>0</v>
      </c>
      <c r="T77" s="135">
        <f t="shared" si="60"/>
        <v>86.08222222222223</v>
      </c>
      <c r="U77" s="16">
        <v>47</v>
      </c>
      <c r="V77" s="16">
        <f t="shared" si="36"/>
        <v>1</v>
      </c>
      <c r="W77" s="16">
        <f t="shared" si="45"/>
        <v>20</v>
      </c>
      <c r="X77" s="58">
        <f t="shared" si="20"/>
        <v>2.977426666666631</v>
      </c>
      <c r="Y77" s="58">
        <f t="shared" si="21"/>
        <v>2.977426666666631</v>
      </c>
      <c r="Z77" s="58">
        <f t="shared" si="61"/>
        <v>166.35999999999734</v>
      </c>
      <c r="AA77" s="58">
        <f t="shared" si="62"/>
        <v>83.34</v>
      </c>
      <c r="AB77" s="58">
        <f t="shared" si="63"/>
        <v>80</v>
      </c>
      <c r="AC77" s="58">
        <f t="shared" si="71"/>
        <v>2.977426666666631</v>
      </c>
      <c r="AD77" s="58">
        <f t="shared" si="72"/>
        <v>2.977426666666631</v>
      </c>
      <c r="AE77" s="58">
        <f t="shared" si="64"/>
        <v>53.66666666666668</v>
      </c>
      <c r="AF77" s="58">
        <f t="shared" si="65"/>
        <v>50</v>
      </c>
      <c r="AG77" s="58">
        <f t="shared" si="46"/>
        <v>400</v>
      </c>
      <c r="AH77" s="58">
        <f t="shared" si="73"/>
        <v>6.082222222222223</v>
      </c>
      <c r="AI77" s="58">
        <f t="shared" si="27"/>
        <v>6.082222222222223</v>
      </c>
      <c r="AJ77" s="58">
        <f t="shared" si="37"/>
        <v>6657.59999999992</v>
      </c>
      <c r="AK77" s="58"/>
      <c r="AL77" s="58">
        <f t="shared" si="47"/>
        <v>0</v>
      </c>
      <c r="AM77" s="58">
        <f t="shared" si="48"/>
        <v>0</v>
      </c>
      <c r="AN77" s="58">
        <f t="shared" si="66"/>
        <v>0</v>
      </c>
      <c r="AO77" s="58">
        <f t="shared" si="49"/>
        <v>0</v>
      </c>
      <c r="AP77" s="58">
        <f t="shared" si="67"/>
        <v>0</v>
      </c>
      <c r="AQ77" s="58">
        <f t="shared" si="50"/>
        <v>0</v>
      </c>
      <c r="AR77" s="58">
        <f t="shared" si="51"/>
        <v>166.35999999999734</v>
      </c>
      <c r="AS77" s="58">
        <f t="shared" si="74"/>
        <v>0</v>
      </c>
      <c r="AT77" s="58">
        <f t="shared" si="75"/>
        <v>0</v>
      </c>
      <c r="AU77" s="59">
        <f t="shared" si="68"/>
        <v>6</v>
      </c>
      <c r="AV77" s="59">
        <f t="shared" si="52"/>
        <v>6</v>
      </c>
      <c r="AW77" s="16">
        <f t="shared" si="69"/>
        <v>2022</v>
      </c>
      <c r="AX77" s="16">
        <f t="shared" si="53"/>
        <v>2022</v>
      </c>
      <c r="AY77" s="16">
        <f t="shared" si="54"/>
        <v>0</v>
      </c>
      <c r="AZ77" s="16">
        <f t="shared" si="55"/>
        <v>30</v>
      </c>
      <c r="BA77" s="16">
        <f t="shared" si="56"/>
        <v>20</v>
      </c>
      <c r="BB77" s="16">
        <f t="shared" si="70"/>
        <v>30</v>
      </c>
      <c r="BC77" s="16"/>
      <c r="BD77" s="16"/>
      <c r="BE77" s="16"/>
      <c r="BF77" s="16"/>
      <c r="BG77" s="16"/>
      <c r="BH77" s="16">
        <f t="shared" si="57"/>
        <v>0</v>
      </c>
      <c r="BI77" s="16"/>
      <c r="BJ77" s="16">
        <f t="shared" si="33"/>
        <v>172.63485333333327</v>
      </c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7"/>
      <c r="BV77" s="17"/>
      <c r="BW77" s="17"/>
      <c r="BX77" s="17"/>
      <c r="BY77" s="17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</row>
    <row r="78" spans="1:150" s="5" customFormat="1" ht="15" customHeight="1">
      <c r="A78" s="11"/>
      <c r="B78" s="11"/>
      <c r="C78" s="60">
        <v>48</v>
      </c>
      <c r="D78" s="60"/>
      <c r="E78" s="60"/>
      <c r="F78" s="169">
        <f t="shared" si="76"/>
        <v>44742</v>
      </c>
      <c r="G78" s="170"/>
      <c r="H78" s="216">
        <f>IF(V78=0,IF(V77=1,SUM(H$31:I77)," "),IF(V78=0," ",IF(V79=1,H$31,IF(V79=0,H$14-H$31*(X$18-1)," "))))</f>
        <v>83.01999999999998</v>
      </c>
      <c r="I78" s="216"/>
      <c r="J78" s="151">
        <f>IF(V78=0,IF(V77=1,SUM(J$31:J77)," "),IF(U$1=1,X78,IF(U$1=2,Y78," ")))</f>
        <v>1.859281666666631</v>
      </c>
      <c r="K78" s="151">
        <f>IF(V78=0,IF(V77=1," "," "),IF(U1=1,0,IF(U1=2,0," ")))</f>
        <v>0</v>
      </c>
      <c r="L78" s="151">
        <f t="shared" si="58"/>
        <v>84.87928166666661</v>
      </c>
      <c r="M78" s="21"/>
      <c r="N78" s="120"/>
      <c r="O78" s="120"/>
      <c r="P78" s="120"/>
      <c r="Q78" s="135">
        <f t="shared" si="59"/>
        <v>240</v>
      </c>
      <c r="R78" s="135">
        <f t="shared" si="44"/>
        <v>5.008888888888889</v>
      </c>
      <c r="S78" s="135">
        <v>0</v>
      </c>
      <c r="T78" s="135">
        <f t="shared" si="60"/>
        <v>245.0088888888889</v>
      </c>
      <c r="U78" s="16">
        <v>48</v>
      </c>
      <c r="V78" s="16">
        <f t="shared" si="36"/>
        <v>1</v>
      </c>
      <c r="W78" s="16">
        <f t="shared" si="45"/>
        <v>0</v>
      </c>
      <c r="X78" s="58">
        <f t="shared" si="20"/>
        <v>1.859281666666631</v>
      </c>
      <c r="Y78" s="58">
        <f t="shared" si="21"/>
        <v>1.859281666666631</v>
      </c>
      <c r="Z78" s="58">
        <f t="shared" si="61"/>
        <v>83.01999999999734</v>
      </c>
      <c r="AA78" s="58">
        <f t="shared" si="62"/>
        <v>83.01999999999998</v>
      </c>
      <c r="AB78" s="58">
        <f t="shared" si="63"/>
        <v>80</v>
      </c>
      <c r="AC78" s="58">
        <f t="shared" si="71"/>
        <v>1.859281666666631</v>
      </c>
      <c r="AD78" s="58">
        <f t="shared" si="72"/>
        <v>1.859281666666631</v>
      </c>
      <c r="AE78" s="58">
        <f t="shared" si="64"/>
        <v>53.66666666666668</v>
      </c>
      <c r="AF78" s="58">
        <f t="shared" si="65"/>
        <v>50</v>
      </c>
      <c r="AG78" s="58">
        <f t="shared" si="46"/>
        <v>320</v>
      </c>
      <c r="AH78" s="58">
        <f t="shared" si="73"/>
        <v>5.008888888888889</v>
      </c>
      <c r="AI78" s="58">
        <f t="shared" si="27"/>
        <v>5.008888888888889</v>
      </c>
      <c r="AJ78" s="58">
        <f t="shared" si="37"/>
        <v>0</v>
      </c>
      <c r="AK78" s="58"/>
      <c r="AL78" s="58">
        <f t="shared" si="47"/>
        <v>0</v>
      </c>
      <c r="AM78" s="58">
        <f t="shared" si="48"/>
        <v>0</v>
      </c>
      <c r="AN78" s="58">
        <f t="shared" si="66"/>
        <v>0</v>
      </c>
      <c r="AO78" s="58">
        <f t="shared" si="49"/>
        <v>0</v>
      </c>
      <c r="AP78" s="58">
        <f t="shared" si="67"/>
        <v>0</v>
      </c>
      <c r="AQ78" s="58">
        <f t="shared" si="50"/>
        <v>0</v>
      </c>
      <c r="AR78" s="58">
        <f t="shared" si="51"/>
        <v>83.01999999999734</v>
      </c>
      <c r="AS78" s="58">
        <f t="shared" si="74"/>
        <v>0</v>
      </c>
      <c r="AT78" s="58">
        <f t="shared" si="75"/>
        <v>0</v>
      </c>
      <c r="AU78" s="59">
        <f t="shared" si="68"/>
        <v>7</v>
      </c>
      <c r="AV78" s="59">
        <f t="shared" si="52"/>
        <v>7</v>
      </c>
      <c r="AW78" s="16">
        <f t="shared" si="69"/>
        <v>2022</v>
      </c>
      <c r="AX78" s="16">
        <f t="shared" si="53"/>
        <v>2022</v>
      </c>
      <c r="AY78" s="16">
        <f t="shared" si="54"/>
        <v>0</v>
      </c>
      <c r="AZ78" s="16">
        <f t="shared" si="55"/>
        <v>30</v>
      </c>
      <c r="BA78" s="16">
        <f t="shared" si="56"/>
        <v>20</v>
      </c>
      <c r="BB78" s="16">
        <f t="shared" si="70"/>
        <v>30</v>
      </c>
      <c r="BC78" s="16"/>
      <c r="BD78" s="16"/>
      <c r="BE78" s="16"/>
      <c r="BF78" s="16"/>
      <c r="BG78" s="16"/>
      <c r="BH78" s="16">
        <f t="shared" si="57"/>
        <v>0</v>
      </c>
      <c r="BI78" s="16"/>
      <c r="BJ78" s="16">
        <f t="shared" si="33"/>
        <v>169.75856333333323</v>
      </c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7"/>
      <c r="BV78" s="17"/>
      <c r="BW78" s="17"/>
      <c r="BX78" s="17"/>
      <c r="BY78" s="17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</row>
    <row r="79" spans="1:150" s="5" customFormat="1" ht="15" customHeight="1">
      <c r="A79" s="11"/>
      <c r="B79" s="11"/>
      <c r="C79" s="60">
        <v>49</v>
      </c>
      <c r="D79" s="60"/>
      <c r="E79" s="60"/>
      <c r="F79" s="213" t="str">
        <f>IF(V79=0,IF(V78=1,"ИТОГО"," "),IF(C$18=H$18+1,IF(U79=C$18,IF(MONTH(F78)=2,IF(DAY(H$21)&gt;29,DATE(YEAR(F78),MONTH(F78),BB79),DATE(YEAR(F78),MONTH(F78),W79)),DATE(YEAR(F78),MONTH(F78),W79)),DATE(YEAR(F78),MONTH(F78)+1,W79)),DATE(YEAR(F78),MONTH(F78)+1,W79)))</f>
        <v>ИТОГО</v>
      </c>
      <c r="G79" s="214"/>
      <c r="H79" s="217">
        <f>IF(V79=0,IF(V78=1,SUM(H$31:I78)," "),IF(V79=0," ",IF(V80=1,H$31,IF(V80=0,H$14-H$31*(X$18-1)," "))))</f>
        <v>4000.0000000000027</v>
      </c>
      <c r="I79" s="217"/>
      <c r="J79" s="152">
        <f>IF(V79=0,IF(V78=1,SUM(J$31:J78)," "),IF(U$1=1,X79,IF(U$1=2,Y79," ")))</f>
        <v>1347.9787611111099</v>
      </c>
      <c r="K79" s="152" t="str">
        <f>IF(V79=0,IF(V78=1," "," "),IF(U1=1,0,IF(U1=2,0," ")))</f>
        <v> </v>
      </c>
      <c r="L79" s="152">
        <f t="shared" si="58"/>
        <v>5347.978761111112</v>
      </c>
      <c r="M79" s="21"/>
      <c r="N79" s="120"/>
      <c r="O79" s="120"/>
      <c r="P79" s="120"/>
      <c r="Q79" s="135">
        <f t="shared" si="59"/>
        <v>0</v>
      </c>
      <c r="R79" s="135">
        <f t="shared" si="44"/>
        <v>0</v>
      </c>
      <c r="S79" s="135">
        <v>0</v>
      </c>
      <c r="T79" s="135" t="str">
        <f t="shared" si="60"/>
        <v> </v>
      </c>
      <c r="U79" s="16">
        <v>49</v>
      </c>
      <c r="V79" s="16">
        <f t="shared" si="36"/>
        <v>0</v>
      </c>
      <c r="W79" s="16">
        <f t="shared" si="45"/>
        <v>20</v>
      </c>
      <c r="X79" s="58">
        <f t="shared" si="20"/>
        <v>0</v>
      </c>
      <c r="Y79" s="58">
        <f t="shared" si="21"/>
        <v>0</v>
      </c>
      <c r="Z79" s="58">
        <f t="shared" si="61"/>
        <v>0</v>
      </c>
      <c r="AA79" s="58">
        <f t="shared" si="62"/>
        <v>4000.0000000000027</v>
      </c>
      <c r="AB79" s="58">
        <f t="shared" si="63"/>
        <v>4000</v>
      </c>
      <c r="AC79" s="58">
        <f>IF(V80=1,Z78*H$15*20/36000+Z79*H$15*10/36000,IF(V80=0,IF(V79=0,0,IF(H$21&gt;20,Z78*H$15*20/36000+Z79*H$15*(AB$16-20)/36000,Z79*H$15*AB$16/36000))))</f>
        <v>0</v>
      </c>
      <c r="AD79" s="58">
        <f>IF(V80=1,Z78*H$15*20/36000+Z79*H$15*10/36000,IF(V80=0,IF(V79=0,0,IF(H$21&gt;20,Z78*H$15*20/36000+Z79*H$15*(AB$16-20)/36000,Z79*H$15*AB$16/36000))))</f>
        <v>0</v>
      </c>
      <c r="AE79" s="58">
        <f t="shared" si="64"/>
        <v>0</v>
      </c>
      <c r="AF79" s="58">
        <f t="shared" si="65"/>
        <v>0</v>
      </c>
      <c r="AG79" s="58">
        <f t="shared" si="46"/>
        <v>80</v>
      </c>
      <c r="AH79" s="58">
        <f>IF(V80=1,AG78*H$15*20/36000+AG79*H$15*10/36000,IF(V80=0,IF(V79=0,0,IF(H$21&gt;20,AG78*H$15*20/36000+AG79*H$15*(AB$16-20)/36000,AG79*H$15*AB$16/36000))))</f>
        <v>0</v>
      </c>
      <c r="AI79" s="58">
        <f t="shared" si="27"/>
        <v>0</v>
      </c>
      <c r="AJ79" s="58">
        <f t="shared" si="37"/>
        <v>0</v>
      </c>
      <c r="AK79" s="58"/>
      <c r="AL79" s="58">
        <f t="shared" si="47"/>
        <v>0</v>
      </c>
      <c r="AM79" s="58">
        <f t="shared" si="48"/>
        <v>0</v>
      </c>
      <c r="AN79" s="58">
        <f t="shared" si="66"/>
        <v>0</v>
      </c>
      <c r="AO79" s="58">
        <f t="shared" si="49"/>
        <v>0</v>
      </c>
      <c r="AP79" s="58">
        <f t="shared" si="67"/>
        <v>0</v>
      </c>
      <c r="AQ79" s="58">
        <f t="shared" si="50"/>
        <v>0</v>
      </c>
      <c r="AR79" s="58">
        <f t="shared" si="51"/>
        <v>0</v>
      </c>
      <c r="AS79" s="58">
        <f>IF(V80=1,AR78*K$16*20/36000+AR79*K$16*10/36000,IF(V80=0,IF(V79=0,0,AR79*K$16*AB$16/36000)))</f>
        <v>0</v>
      </c>
      <c r="AT79" s="58">
        <f>IF(V80=1,AR78*K$16*20/36000+AR79*K$16*10/36000,IF(V80=0,IF(V79=0,0,AR79*K$16*AB$16/36000)))</f>
        <v>0</v>
      </c>
      <c r="AU79" s="59">
        <f t="shared" si="68"/>
        <v>0</v>
      </c>
      <c r="AV79" s="59">
        <f t="shared" si="52"/>
        <v>0</v>
      </c>
      <c r="AW79" s="16">
        <f t="shared" si="69"/>
        <v>0</v>
      </c>
      <c r="AX79" s="16">
        <f t="shared" si="53"/>
        <v>0</v>
      </c>
      <c r="AY79" s="16">
        <f t="shared" si="54"/>
        <v>0</v>
      </c>
      <c r="AZ79" s="16">
        <f t="shared" si="55"/>
        <v>30</v>
      </c>
      <c r="BA79" s="16">
        <f t="shared" si="56"/>
        <v>20</v>
      </c>
      <c r="BB79" s="16">
        <f t="shared" si="70"/>
        <v>30</v>
      </c>
      <c r="BC79" s="16"/>
      <c r="BD79" s="16"/>
      <c r="BE79" s="16"/>
      <c r="BF79" s="16"/>
      <c r="BG79" s="16"/>
      <c r="BH79" s="16">
        <f t="shared" si="57"/>
        <v>0</v>
      </c>
      <c r="BI79" s="16"/>
      <c r="BJ79" s="16">
        <f t="shared" si="33"/>
      </c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7"/>
      <c r="BV79" s="17"/>
      <c r="BW79" s="17"/>
      <c r="BX79" s="17"/>
      <c r="BY79" s="17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</row>
    <row r="80" spans="1:150" s="5" customFormat="1" ht="15" customHeight="1">
      <c r="A80" s="11"/>
      <c r="B80" s="11"/>
      <c r="C80" s="60"/>
      <c r="D80" s="60"/>
      <c r="E80" s="60"/>
      <c r="F80" s="213" t="str">
        <f>IF(V80=0,IF(V79=1,"ИТОГО"," "),IF(C$18=H$18+1,IF(U80=C$18,IF(MONTH(F79)=2,IF(DAY(H$21)&gt;29,DATE(YEAR(F79),MONTH(F79),BB80),DATE(YEAR(F79),MONTH(F79),W80)),DATE(YEAR(F79),MONTH(F79),W80)),DATE(YEAR(F79),MONTH(F79)+1,W80)),DATE(YEAR(F79),MONTH(F79)+1,W80)))</f>
        <v> </v>
      </c>
      <c r="G80" s="214"/>
      <c r="H80" s="215" t="str">
        <f>IF(V80=0,IF(V79=1,SUM(H$31:I79)," "),IF(V80=0," ",IF(V81=1,H$31,IF(V81=0,H$14-H$31*(X$18-1)," "))))</f>
        <v> </v>
      </c>
      <c r="I80" s="215"/>
      <c r="J80" s="150" t="str">
        <f>IF(V80=0,IF(V79=1,SUM(J$31:J79)," "),IF(U$1=1,X80,IF(U$1=2,Y80," ")))</f>
        <v> </v>
      </c>
      <c r="K80" s="150" t="str">
        <f>IF(V80=0,IF(V79=1," "," "),IF(U1=1,0,IF(U1=2,0," ")))</f>
        <v> </v>
      </c>
      <c r="L80" s="150" t="str">
        <f t="shared" si="58"/>
        <v> </v>
      </c>
      <c r="M80" s="21"/>
      <c r="N80" s="120"/>
      <c r="O80" s="120"/>
      <c r="P80" s="120"/>
      <c r="Q80" s="135">
        <f t="shared" si="59"/>
        <v>0</v>
      </c>
      <c r="R80" s="135">
        <f t="shared" si="44"/>
        <v>0</v>
      </c>
      <c r="S80" s="135">
        <v>0</v>
      </c>
      <c r="T80" s="135" t="str">
        <f t="shared" si="60"/>
        <v> </v>
      </c>
      <c r="U80" s="16">
        <v>50</v>
      </c>
      <c r="V80" s="16">
        <f t="shared" si="36"/>
        <v>0</v>
      </c>
      <c r="W80" s="16">
        <f t="shared" si="45"/>
        <v>20</v>
      </c>
      <c r="X80" s="58">
        <f t="shared" si="20"/>
        <v>0</v>
      </c>
      <c r="Y80" s="58">
        <f t="shared" si="21"/>
        <v>0</v>
      </c>
      <c r="Z80" s="58">
        <f t="shared" si="61"/>
        <v>0</v>
      </c>
      <c r="AA80" s="58" t="str">
        <f t="shared" si="62"/>
        <v> </v>
      </c>
      <c r="AB80" s="58" t="e">
        <f t="shared" si="63"/>
        <v>#VALUE!</v>
      </c>
      <c r="AC80" s="58">
        <f aca="true" t="shared" si="77" ref="AC80:AC90">IF(V81=1,Z79*H$15*20/36000+Z80*H$15*10/36000,IF(V81=0,IF(V80=0,0,Z80*H$15*AB$16/36000+Z79*H$15*20/36000+Z80*H$15*10/36000)))</f>
        <v>0</v>
      </c>
      <c r="AD80" s="58">
        <f aca="true" t="shared" si="78" ref="AD80:AD90">IF(V81=1,Z79*H$15*20/36000+Z80*H$15*10/36000,IF(V81=0,IF(V80=0,0,Z80*H$15*AB$16/36000+Z79*H$15*20/36000+Z80*H$15*10/36000)))</f>
        <v>0</v>
      </c>
      <c r="AE80" s="58">
        <f t="shared" si="64"/>
        <v>0</v>
      </c>
      <c r="AF80" s="58">
        <f t="shared" si="65"/>
        <v>0</v>
      </c>
      <c r="AG80" s="58">
        <f t="shared" si="46"/>
        <v>80</v>
      </c>
      <c r="AH80" s="58">
        <f aca="true" t="shared" si="79" ref="AH80:AH90">IF(V81=1,AG79*H$15*20/36000+AG80*H$15*10/36000,IF(V81=0,IF(V80=0,0,AG80*H$15*AB$16/36000+AG79*H$15*20/36000+AG80*H$15*10/36000)))</f>
        <v>0</v>
      </c>
      <c r="AI80" s="58">
        <f t="shared" si="27"/>
        <v>0</v>
      </c>
      <c r="AJ80" s="58">
        <f t="shared" si="37"/>
        <v>0</v>
      </c>
      <c r="AK80" s="58"/>
      <c r="AL80" s="58">
        <f t="shared" si="47"/>
        <v>0</v>
      </c>
      <c r="AM80" s="58">
        <f t="shared" si="48"/>
        <v>0</v>
      </c>
      <c r="AN80" s="58">
        <f t="shared" si="66"/>
        <v>0</v>
      </c>
      <c r="AO80" s="58">
        <f t="shared" si="49"/>
        <v>0</v>
      </c>
      <c r="AP80" s="58">
        <f t="shared" si="67"/>
        <v>0</v>
      </c>
      <c r="AQ80" s="58">
        <f t="shared" si="50"/>
        <v>0</v>
      </c>
      <c r="AR80" s="58">
        <f t="shared" si="51"/>
        <v>0</v>
      </c>
      <c r="AS80" s="58">
        <f aca="true" t="shared" si="80" ref="AS80:AS90">IF(V81=1,AR79*K$16*20/36000+AR80*K$16*10/36000,IF(V81=0,IF(V80=0,0,AR80*K$16*AB$16/36000+AR79*K$16*20/36000+AR80*K$16*10/36000)))</f>
        <v>0</v>
      </c>
      <c r="AT80" s="58">
        <f aca="true" t="shared" si="81" ref="AT80:AT90">IF(V81=1,AR79*K$16*20/36000+AR80*K$16*10/36000,IF(V81=0,IF(V80=0,0,AR80*K$16*AB$16/36000+AR79*K$16*20/36000+AR80*K$16*10/36000)))</f>
        <v>0</v>
      </c>
      <c r="AU80" s="59">
        <f t="shared" si="68"/>
        <v>0</v>
      </c>
      <c r="AV80" s="59">
        <f t="shared" si="52"/>
        <v>0</v>
      </c>
      <c r="AW80" s="16">
        <f t="shared" si="69"/>
        <v>0</v>
      </c>
      <c r="AX80" s="16">
        <f t="shared" si="53"/>
        <v>0</v>
      </c>
      <c r="AY80" s="16">
        <f t="shared" si="54"/>
        <v>0</v>
      </c>
      <c r="AZ80" s="16">
        <f t="shared" si="55"/>
        <v>30</v>
      </c>
      <c r="BA80" s="16">
        <f t="shared" si="56"/>
        <v>20</v>
      </c>
      <c r="BB80" s="16">
        <f t="shared" si="70"/>
        <v>30</v>
      </c>
      <c r="BC80" s="16"/>
      <c r="BD80" s="16"/>
      <c r="BE80" s="16"/>
      <c r="BF80" s="16"/>
      <c r="BG80" s="16"/>
      <c r="BH80" s="16">
        <f t="shared" si="57"/>
        <v>0</v>
      </c>
      <c r="BI80" s="16"/>
      <c r="BJ80" s="16">
        <f t="shared" si="33"/>
      </c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7"/>
      <c r="BV80" s="17"/>
      <c r="BW80" s="17"/>
      <c r="BX80" s="17"/>
      <c r="BY80" s="17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</row>
    <row r="81" spans="1:150" s="5" customFormat="1" ht="15" customHeight="1">
      <c r="A81" s="11"/>
      <c r="B81" s="11"/>
      <c r="C81" s="60"/>
      <c r="D81" s="60"/>
      <c r="E81" s="60"/>
      <c r="F81" s="169" t="str">
        <f aca="true" t="shared" si="82" ref="F81:F91">IF(V81=0,IF(V80=1,"ИТОГО"," "),IF(C$18=H$18+1,IF(U81=C$18,IF(MONTH(F80)=2,IF(DAY(H$21)&gt;29,DATE(YEAR(F80),MONTH(F80),BB81),DATE(YEAR(F80),MONTH(F80),W81)),DATE(YEAR(F80),MONTH(F80),W81)),DATE(YEAR(F80),MONTH(F80)+1,W81)),DATE(YEAR(F80),MONTH(F80)+1,W81)))</f>
        <v> </v>
      </c>
      <c r="G81" s="170"/>
      <c r="H81" s="171" t="str">
        <f>IF(V81=0,IF(V80=1,SUM(H$31:I80)," "),IF(V81=0," ",IF(V82=1,H$31,IF(V82=0,H$14-H$31*(X$18-1)," "))))</f>
        <v> </v>
      </c>
      <c r="I81" s="171"/>
      <c r="J81" s="57" t="str">
        <f>IF(V81=0,IF(V80=1,SUM(J$31:J80)," "),IF(U$1=1,X81,IF(U$1=2,Y81," ")))</f>
        <v> </v>
      </c>
      <c r="K81" s="57" t="str">
        <f>IF(V81=0,IF(V80=1," "," "),IF(U1=1,0,IF(U1=2,0," ")))</f>
        <v> </v>
      </c>
      <c r="L81" s="57" t="str">
        <f t="shared" si="58"/>
        <v> </v>
      </c>
      <c r="M81" s="21"/>
      <c r="N81" s="120"/>
      <c r="O81" s="120"/>
      <c r="P81" s="120"/>
      <c r="Q81" s="135">
        <f t="shared" si="59"/>
        <v>0</v>
      </c>
      <c r="R81" s="135">
        <f t="shared" si="44"/>
        <v>0</v>
      </c>
      <c r="S81" s="135">
        <v>0</v>
      </c>
      <c r="T81" s="135" t="str">
        <f t="shared" si="60"/>
        <v> </v>
      </c>
      <c r="U81" s="16">
        <v>51</v>
      </c>
      <c r="V81" s="16">
        <f t="shared" si="36"/>
        <v>0</v>
      </c>
      <c r="W81" s="16">
        <f t="shared" si="45"/>
        <v>20</v>
      </c>
      <c r="X81" s="58">
        <f t="shared" si="20"/>
        <v>0</v>
      </c>
      <c r="Y81" s="58">
        <f t="shared" si="21"/>
        <v>0</v>
      </c>
      <c r="Z81" s="58">
        <f t="shared" si="61"/>
        <v>0</v>
      </c>
      <c r="AA81" s="58" t="str">
        <f t="shared" si="62"/>
        <v> </v>
      </c>
      <c r="AB81" s="58" t="e">
        <f t="shared" si="63"/>
        <v>#VALUE!</v>
      </c>
      <c r="AC81" s="58">
        <f t="shared" si="77"/>
        <v>0</v>
      </c>
      <c r="AD81" s="58">
        <f t="shared" si="78"/>
        <v>0</v>
      </c>
      <c r="AE81" s="58">
        <f t="shared" si="64"/>
        <v>0</v>
      </c>
      <c r="AF81" s="58">
        <f t="shared" si="65"/>
        <v>0</v>
      </c>
      <c r="AG81" s="58">
        <f t="shared" si="46"/>
        <v>80</v>
      </c>
      <c r="AH81" s="58">
        <f t="shared" si="79"/>
        <v>0</v>
      </c>
      <c r="AI81" s="58">
        <f t="shared" si="27"/>
        <v>0</v>
      </c>
      <c r="AJ81" s="58">
        <f t="shared" si="37"/>
        <v>0</v>
      </c>
      <c r="AK81" s="58"/>
      <c r="AL81" s="58">
        <f t="shared" si="47"/>
        <v>0</v>
      </c>
      <c r="AM81" s="58">
        <f t="shared" si="48"/>
        <v>0</v>
      </c>
      <c r="AN81" s="58">
        <f t="shared" si="66"/>
        <v>0</v>
      </c>
      <c r="AO81" s="58">
        <f t="shared" si="49"/>
        <v>0</v>
      </c>
      <c r="AP81" s="58">
        <f t="shared" si="67"/>
        <v>0</v>
      </c>
      <c r="AQ81" s="58">
        <f t="shared" si="50"/>
        <v>0</v>
      </c>
      <c r="AR81" s="58">
        <f t="shared" si="51"/>
        <v>0</v>
      </c>
      <c r="AS81" s="58">
        <f t="shared" si="80"/>
        <v>0</v>
      </c>
      <c r="AT81" s="58">
        <f t="shared" si="81"/>
        <v>0</v>
      </c>
      <c r="AU81" s="59">
        <f t="shared" si="68"/>
        <v>0</v>
      </c>
      <c r="AV81" s="59">
        <f t="shared" si="52"/>
        <v>0</v>
      </c>
      <c r="AW81" s="16">
        <f t="shared" si="69"/>
        <v>0</v>
      </c>
      <c r="AX81" s="16">
        <f t="shared" si="53"/>
        <v>0</v>
      </c>
      <c r="AY81" s="16">
        <f t="shared" si="54"/>
        <v>0</v>
      </c>
      <c r="AZ81" s="16">
        <f t="shared" si="55"/>
        <v>30</v>
      </c>
      <c r="BA81" s="16">
        <f t="shared" si="56"/>
        <v>20</v>
      </c>
      <c r="BB81" s="16">
        <f t="shared" si="70"/>
        <v>30</v>
      </c>
      <c r="BC81" s="16"/>
      <c r="BD81" s="16"/>
      <c r="BE81" s="16"/>
      <c r="BF81" s="16"/>
      <c r="BG81" s="16"/>
      <c r="BH81" s="16">
        <f t="shared" si="57"/>
        <v>0</v>
      </c>
      <c r="BI81" s="16"/>
      <c r="BJ81" s="16">
        <f t="shared" si="33"/>
      </c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7"/>
      <c r="BV81" s="17"/>
      <c r="BW81" s="17"/>
      <c r="BX81" s="17"/>
      <c r="BY81" s="17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</row>
    <row r="82" spans="1:150" s="5" customFormat="1" ht="15" customHeight="1">
      <c r="A82" s="11"/>
      <c r="B82" s="11"/>
      <c r="C82" s="60"/>
      <c r="D82" s="60"/>
      <c r="E82" s="60"/>
      <c r="F82" s="169" t="str">
        <f t="shared" si="82"/>
        <v> </v>
      </c>
      <c r="G82" s="170"/>
      <c r="H82" s="171" t="str">
        <f>IF(V82=0,IF(V81=1,SUM(H$31:I81)," "),IF(V82=0," ",IF(V83=1,H$31,IF(V83=0,H$14-H$31*(X$18-1)," "))))</f>
        <v> </v>
      </c>
      <c r="I82" s="171"/>
      <c r="J82" s="57" t="str">
        <f>IF(V82=0,IF(V81=1,SUM(J$31:J81)," "),IF(U$1=1,X82,IF(U$1=2,Y82," ")))</f>
        <v> </v>
      </c>
      <c r="K82" s="57" t="str">
        <f>IF(V82=0,IF(V81=1," "," "),IF(U1=1,0,IF(U1=2,0," ")))</f>
        <v> </v>
      </c>
      <c r="L82" s="57" t="str">
        <f t="shared" si="58"/>
        <v> </v>
      </c>
      <c r="M82" s="21"/>
      <c r="N82" s="120"/>
      <c r="O82" s="120"/>
      <c r="P82" s="120"/>
      <c r="Q82" s="135">
        <f t="shared" si="59"/>
        <v>0</v>
      </c>
      <c r="R82" s="135">
        <f t="shared" si="44"/>
        <v>0</v>
      </c>
      <c r="S82" s="135">
        <v>0</v>
      </c>
      <c r="T82" s="135" t="str">
        <f t="shared" si="60"/>
        <v> </v>
      </c>
      <c r="U82" s="16">
        <v>52</v>
      </c>
      <c r="V82" s="16">
        <f t="shared" si="36"/>
        <v>0</v>
      </c>
      <c r="W82" s="16">
        <f t="shared" si="45"/>
        <v>20</v>
      </c>
      <c r="X82" s="58">
        <f t="shared" si="20"/>
        <v>0</v>
      </c>
      <c r="Y82" s="58">
        <f t="shared" si="21"/>
        <v>0</v>
      </c>
      <c r="Z82" s="58">
        <f t="shared" si="61"/>
        <v>0</v>
      </c>
      <c r="AA82" s="58" t="str">
        <f t="shared" si="62"/>
        <v> </v>
      </c>
      <c r="AB82" s="58" t="e">
        <f t="shared" si="63"/>
        <v>#VALUE!</v>
      </c>
      <c r="AC82" s="58">
        <f t="shared" si="77"/>
        <v>0</v>
      </c>
      <c r="AD82" s="58">
        <f t="shared" si="78"/>
        <v>0</v>
      </c>
      <c r="AE82" s="58">
        <f t="shared" si="64"/>
        <v>0</v>
      </c>
      <c r="AF82" s="58">
        <f t="shared" si="65"/>
        <v>0</v>
      </c>
      <c r="AG82" s="58">
        <f t="shared" si="46"/>
        <v>80</v>
      </c>
      <c r="AH82" s="58">
        <f t="shared" si="79"/>
        <v>0</v>
      </c>
      <c r="AI82" s="58">
        <f t="shared" si="27"/>
        <v>0</v>
      </c>
      <c r="AJ82" s="58">
        <f t="shared" si="37"/>
        <v>0</v>
      </c>
      <c r="AK82" s="58"/>
      <c r="AL82" s="58">
        <f t="shared" si="47"/>
        <v>0</v>
      </c>
      <c r="AM82" s="58">
        <f t="shared" si="48"/>
        <v>0</v>
      </c>
      <c r="AN82" s="58">
        <f t="shared" si="66"/>
        <v>0</v>
      </c>
      <c r="AO82" s="58">
        <f t="shared" si="49"/>
        <v>0</v>
      </c>
      <c r="AP82" s="58">
        <f t="shared" si="67"/>
        <v>0</v>
      </c>
      <c r="AQ82" s="58">
        <f t="shared" si="50"/>
        <v>0</v>
      </c>
      <c r="AR82" s="58">
        <f t="shared" si="51"/>
        <v>0</v>
      </c>
      <c r="AS82" s="58">
        <f t="shared" si="80"/>
        <v>0</v>
      </c>
      <c r="AT82" s="58">
        <f t="shared" si="81"/>
        <v>0</v>
      </c>
      <c r="AU82" s="59">
        <f t="shared" si="68"/>
        <v>0</v>
      </c>
      <c r="AV82" s="59">
        <f t="shared" si="52"/>
        <v>0</v>
      </c>
      <c r="AW82" s="16">
        <f t="shared" si="69"/>
        <v>0</v>
      </c>
      <c r="AX82" s="16">
        <f t="shared" si="53"/>
        <v>0</v>
      </c>
      <c r="AY82" s="16">
        <f t="shared" si="54"/>
        <v>0</v>
      </c>
      <c r="AZ82" s="16">
        <f t="shared" si="55"/>
        <v>30</v>
      </c>
      <c r="BA82" s="16">
        <f t="shared" si="56"/>
        <v>20</v>
      </c>
      <c r="BB82" s="16">
        <f t="shared" si="70"/>
        <v>30</v>
      </c>
      <c r="BC82" s="16"/>
      <c r="BD82" s="16"/>
      <c r="BE82" s="16"/>
      <c r="BF82" s="16"/>
      <c r="BG82" s="16"/>
      <c r="BH82" s="16">
        <f t="shared" si="57"/>
        <v>0</v>
      </c>
      <c r="BI82" s="16"/>
      <c r="BJ82" s="16">
        <f t="shared" si="33"/>
      </c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7"/>
      <c r="BV82" s="17"/>
      <c r="BW82" s="17"/>
      <c r="BX82" s="17"/>
      <c r="BY82" s="17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</row>
    <row r="83" spans="1:150" s="5" customFormat="1" ht="15" customHeight="1">
      <c r="A83" s="11"/>
      <c r="B83" s="11"/>
      <c r="C83" s="60"/>
      <c r="D83" s="60"/>
      <c r="E83" s="60"/>
      <c r="F83" s="169" t="str">
        <f t="shared" si="82"/>
        <v> </v>
      </c>
      <c r="G83" s="170"/>
      <c r="H83" s="171" t="str">
        <f>IF(V83=0,IF(V82=1,SUM(H$31:I82)," "),IF(V83=0," ",IF(V84=1,H$31,IF(V84=0,H$14-H$31*(X$18-1)," "))))</f>
        <v> </v>
      </c>
      <c r="I83" s="171"/>
      <c r="J83" s="57" t="str">
        <f>IF(V83=0,IF(V82=1,SUM(J$31:J82)," "),IF(U$1=1,X83,IF(U$1=2,Y83," ")))</f>
        <v> </v>
      </c>
      <c r="K83" s="57" t="str">
        <f>IF(V83=0,IF(V82=1," "," "),IF(U1=1,0,IF(U1=2,0," ")))</f>
        <v> </v>
      </c>
      <c r="L83" s="57" t="str">
        <f t="shared" si="58"/>
        <v> </v>
      </c>
      <c r="M83" s="21"/>
      <c r="N83" s="120"/>
      <c r="O83" s="120"/>
      <c r="P83" s="120"/>
      <c r="Q83" s="135">
        <f t="shared" si="59"/>
        <v>0</v>
      </c>
      <c r="R83" s="135">
        <f t="shared" si="44"/>
        <v>0</v>
      </c>
      <c r="S83" s="135">
        <v>0</v>
      </c>
      <c r="T83" s="135" t="str">
        <f t="shared" si="60"/>
        <v> </v>
      </c>
      <c r="U83" s="16">
        <v>53</v>
      </c>
      <c r="V83" s="16">
        <f t="shared" si="36"/>
        <v>0</v>
      </c>
      <c r="W83" s="16">
        <f t="shared" si="45"/>
        <v>20</v>
      </c>
      <c r="X83" s="58">
        <f t="shared" si="20"/>
        <v>0</v>
      </c>
      <c r="Y83" s="58">
        <f t="shared" si="21"/>
        <v>0</v>
      </c>
      <c r="Z83" s="58">
        <f t="shared" si="61"/>
        <v>0</v>
      </c>
      <c r="AA83" s="58" t="str">
        <f t="shared" si="62"/>
        <v> </v>
      </c>
      <c r="AB83" s="58" t="e">
        <f t="shared" si="63"/>
        <v>#VALUE!</v>
      </c>
      <c r="AC83" s="58">
        <f t="shared" si="77"/>
        <v>0</v>
      </c>
      <c r="AD83" s="58">
        <f t="shared" si="78"/>
        <v>0</v>
      </c>
      <c r="AE83" s="58">
        <f t="shared" si="64"/>
        <v>0</v>
      </c>
      <c r="AF83" s="58">
        <f t="shared" si="65"/>
        <v>0</v>
      </c>
      <c r="AG83" s="58">
        <f t="shared" si="46"/>
        <v>80</v>
      </c>
      <c r="AH83" s="58">
        <f t="shared" si="79"/>
        <v>0</v>
      </c>
      <c r="AI83" s="58">
        <f t="shared" si="27"/>
        <v>0</v>
      </c>
      <c r="AJ83" s="58">
        <f t="shared" si="37"/>
        <v>0</v>
      </c>
      <c r="AK83" s="58"/>
      <c r="AL83" s="58">
        <f t="shared" si="47"/>
        <v>0</v>
      </c>
      <c r="AM83" s="58">
        <f t="shared" si="48"/>
        <v>0</v>
      </c>
      <c r="AN83" s="58">
        <f t="shared" si="66"/>
        <v>0</v>
      </c>
      <c r="AO83" s="58">
        <f t="shared" si="49"/>
        <v>0</v>
      </c>
      <c r="AP83" s="58">
        <f t="shared" si="67"/>
        <v>0</v>
      </c>
      <c r="AQ83" s="58">
        <f t="shared" si="50"/>
        <v>0</v>
      </c>
      <c r="AR83" s="58">
        <f t="shared" si="51"/>
        <v>0</v>
      </c>
      <c r="AS83" s="58">
        <f t="shared" si="80"/>
        <v>0</v>
      </c>
      <c r="AT83" s="58">
        <f t="shared" si="81"/>
        <v>0</v>
      </c>
      <c r="AU83" s="59">
        <f t="shared" si="68"/>
        <v>0</v>
      </c>
      <c r="AV83" s="59">
        <f t="shared" si="52"/>
        <v>0</v>
      </c>
      <c r="AW83" s="16">
        <f t="shared" si="69"/>
        <v>0</v>
      </c>
      <c r="AX83" s="16">
        <f t="shared" si="53"/>
        <v>0</v>
      </c>
      <c r="AY83" s="16">
        <f t="shared" si="54"/>
        <v>0</v>
      </c>
      <c r="AZ83" s="16">
        <f t="shared" si="55"/>
        <v>30</v>
      </c>
      <c r="BA83" s="16">
        <f t="shared" si="56"/>
        <v>20</v>
      </c>
      <c r="BB83" s="16">
        <f t="shared" si="70"/>
        <v>30</v>
      </c>
      <c r="BC83" s="16"/>
      <c r="BD83" s="16"/>
      <c r="BE83" s="16"/>
      <c r="BF83" s="16"/>
      <c r="BG83" s="16"/>
      <c r="BH83" s="16">
        <f t="shared" si="57"/>
        <v>0</v>
      </c>
      <c r="BI83" s="16"/>
      <c r="BJ83" s="16">
        <f t="shared" si="33"/>
      </c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7"/>
      <c r="BV83" s="17"/>
      <c r="BW83" s="17"/>
      <c r="BX83" s="17"/>
      <c r="BY83" s="17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</row>
    <row r="84" spans="1:150" s="5" customFormat="1" ht="15" customHeight="1">
      <c r="A84" s="11"/>
      <c r="B84" s="11"/>
      <c r="C84" s="60"/>
      <c r="D84" s="60"/>
      <c r="E84" s="60"/>
      <c r="F84" s="169" t="str">
        <f t="shared" si="82"/>
        <v> </v>
      </c>
      <c r="G84" s="170"/>
      <c r="H84" s="171" t="str">
        <f>IF(V84=0,IF(V83=1,SUM(H$31:I83)," "),IF(V84=0," ",IF(V85=1,H$31,IF(V85=0,H$14-H$31*(X$18-1)," "))))</f>
        <v> </v>
      </c>
      <c r="I84" s="171"/>
      <c r="J84" s="57" t="str">
        <f>IF(V84=0,IF(V83=1,SUM(J$31:J83)," "),IF(U$1=1,X84,IF(U$1=2,Y84," ")))</f>
        <v> </v>
      </c>
      <c r="K84" s="57" t="str">
        <f>IF(V84=0,IF(V83=1," "," "),IF(U1=1,0,IF(U1=2,0," ")))</f>
        <v> </v>
      </c>
      <c r="L84" s="57" t="str">
        <f t="shared" si="58"/>
        <v> </v>
      </c>
      <c r="M84" s="21"/>
      <c r="N84" s="120"/>
      <c r="O84" s="120"/>
      <c r="P84" s="120"/>
      <c r="Q84" s="135">
        <f t="shared" si="59"/>
        <v>0</v>
      </c>
      <c r="R84" s="135">
        <f t="shared" si="44"/>
        <v>0</v>
      </c>
      <c r="S84" s="135">
        <v>0</v>
      </c>
      <c r="T84" s="135" t="str">
        <f t="shared" si="60"/>
        <v> </v>
      </c>
      <c r="U84" s="16">
        <v>54</v>
      </c>
      <c r="V84" s="16">
        <f t="shared" si="36"/>
        <v>0</v>
      </c>
      <c r="W84" s="16">
        <f t="shared" si="45"/>
        <v>20</v>
      </c>
      <c r="X84" s="58">
        <f t="shared" si="20"/>
        <v>0</v>
      </c>
      <c r="Y84" s="58">
        <f t="shared" si="21"/>
        <v>0</v>
      </c>
      <c r="Z84" s="58">
        <f t="shared" si="61"/>
        <v>0</v>
      </c>
      <c r="AA84" s="58" t="str">
        <f t="shared" si="62"/>
        <v> </v>
      </c>
      <c r="AB84" s="58" t="e">
        <f t="shared" si="63"/>
        <v>#VALUE!</v>
      </c>
      <c r="AC84" s="58">
        <f t="shared" si="77"/>
        <v>0</v>
      </c>
      <c r="AD84" s="58">
        <f t="shared" si="78"/>
        <v>0</v>
      </c>
      <c r="AE84" s="58">
        <f t="shared" si="64"/>
        <v>0</v>
      </c>
      <c r="AF84" s="58">
        <f t="shared" si="65"/>
        <v>0</v>
      </c>
      <c r="AG84" s="58">
        <f t="shared" si="46"/>
        <v>80</v>
      </c>
      <c r="AH84" s="58">
        <f t="shared" si="79"/>
        <v>0</v>
      </c>
      <c r="AI84" s="58">
        <f t="shared" si="27"/>
        <v>0</v>
      </c>
      <c r="AJ84" s="58">
        <f t="shared" si="37"/>
        <v>0</v>
      </c>
      <c r="AK84" s="58"/>
      <c r="AL84" s="58">
        <f t="shared" si="47"/>
        <v>0</v>
      </c>
      <c r="AM84" s="58">
        <f t="shared" si="48"/>
        <v>0</v>
      </c>
      <c r="AN84" s="58">
        <f t="shared" si="66"/>
        <v>0</v>
      </c>
      <c r="AO84" s="58">
        <f t="shared" si="49"/>
        <v>0</v>
      </c>
      <c r="AP84" s="58">
        <f t="shared" si="67"/>
        <v>0</v>
      </c>
      <c r="AQ84" s="58">
        <f t="shared" si="50"/>
        <v>0</v>
      </c>
      <c r="AR84" s="58">
        <f t="shared" si="51"/>
        <v>0</v>
      </c>
      <c r="AS84" s="58">
        <f t="shared" si="80"/>
        <v>0</v>
      </c>
      <c r="AT84" s="58">
        <f t="shared" si="81"/>
        <v>0</v>
      </c>
      <c r="AU84" s="59">
        <f t="shared" si="68"/>
        <v>0</v>
      </c>
      <c r="AV84" s="59">
        <f t="shared" si="52"/>
        <v>0</v>
      </c>
      <c r="AW84" s="16">
        <f t="shared" si="69"/>
        <v>0</v>
      </c>
      <c r="AX84" s="16">
        <f t="shared" si="53"/>
        <v>0</v>
      </c>
      <c r="AY84" s="16">
        <f t="shared" si="54"/>
        <v>0</v>
      </c>
      <c r="AZ84" s="16">
        <f t="shared" si="55"/>
        <v>30</v>
      </c>
      <c r="BA84" s="16">
        <f t="shared" si="56"/>
        <v>20</v>
      </c>
      <c r="BB84" s="16">
        <f t="shared" si="70"/>
        <v>30</v>
      </c>
      <c r="BC84" s="16"/>
      <c r="BD84" s="16"/>
      <c r="BE84" s="16"/>
      <c r="BF84" s="16"/>
      <c r="BG84" s="16"/>
      <c r="BH84" s="16">
        <f t="shared" si="57"/>
        <v>0</v>
      </c>
      <c r="BI84" s="16"/>
      <c r="BJ84" s="16">
        <f t="shared" si="33"/>
      </c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7"/>
      <c r="BV84" s="17"/>
      <c r="BW84" s="17"/>
      <c r="BX84" s="17"/>
      <c r="BY84" s="17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</row>
    <row r="85" spans="1:150" s="5" customFormat="1" ht="15" customHeight="1">
      <c r="A85" s="11"/>
      <c r="B85" s="11"/>
      <c r="C85" s="15"/>
      <c r="D85" s="15"/>
      <c r="E85" s="15"/>
      <c r="F85" s="169" t="str">
        <f t="shared" si="82"/>
        <v> </v>
      </c>
      <c r="G85" s="170"/>
      <c r="H85" s="171" t="str">
        <f>IF(V85=0,IF(V84=1,SUM(H$31:I84)," "),IF(V85=0," ",IF(V86=1,H$31,IF(V86=0,H$14-H$31*(X$18-1)," "))))</f>
        <v> </v>
      </c>
      <c r="I85" s="171"/>
      <c r="J85" s="57" t="str">
        <f>IF(V85=0,IF(V84=1,SUM(J$31:J84)," "),IF(U$1=1,X85,IF(U$1=2,Y85," ")))</f>
        <v> </v>
      </c>
      <c r="K85" s="57" t="str">
        <f>IF(V85=0,IF(V84=1," "," "),IF(U1=1,0,IF(U1=2,0," ")))</f>
        <v> </v>
      </c>
      <c r="L85" s="57" t="str">
        <f t="shared" si="58"/>
        <v> </v>
      </c>
      <c r="M85" s="21"/>
      <c r="N85" s="120"/>
      <c r="O85" s="120"/>
      <c r="P85" s="120"/>
      <c r="Q85" s="135">
        <f t="shared" si="59"/>
        <v>0</v>
      </c>
      <c r="R85" s="135">
        <f t="shared" si="44"/>
        <v>0</v>
      </c>
      <c r="S85" s="135">
        <v>0</v>
      </c>
      <c r="T85" s="135" t="str">
        <f t="shared" si="60"/>
        <v> </v>
      </c>
      <c r="U85" s="16">
        <v>55</v>
      </c>
      <c r="V85" s="16">
        <f t="shared" si="36"/>
        <v>0</v>
      </c>
      <c r="W85" s="16">
        <f t="shared" si="45"/>
        <v>20</v>
      </c>
      <c r="X85" s="58">
        <f t="shared" si="20"/>
        <v>0</v>
      </c>
      <c r="Y85" s="58">
        <f t="shared" si="21"/>
        <v>0</v>
      </c>
      <c r="Z85" s="58">
        <f t="shared" si="61"/>
        <v>0</v>
      </c>
      <c r="AA85" s="58" t="str">
        <f t="shared" si="62"/>
        <v> </v>
      </c>
      <c r="AB85" s="58" t="e">
        <f t="shared" si="63"/>
        <v>#VALUE!</v>
      </c>
      <c r="AC85" s="58">
        <f t="shared" si="77"/>
        <v>0</v>
      </c>
      <c r="AD85" s="58">
        <f t="shared" si="78"/>
        <v>0</v>
      </c>
      <c r="AE85" s="58">
        <f t="shared" si="64"/>
        <v>0</v>
      </c>
      <c r="AF85" s="58">
        <f t="shared" si="65"/>
        <v>0</v>
      </c>
      <c r="AG85" s="58">
        <f t="shared" si="46"/>
        <v>80</v>
      </c>
      <c r="AH85" s="58">
        <f t="shared" si="79"/>
        <v>0</v>
      </c>
      <c r="AI85" s="58">
        <f t="shared" si="27"/>
        <v>0</v>
      </c>
      <c r="AJ85" s="58">
        <f t="shared" si="37"/>
        <v>0</v>
      </c>
      <c r="AK85" s="58"/>
      <c r="AL85" s="58">
        <f t="shared" si="47"/>
        <v>0</v>
      </c>
      <c r="AM85" s="58">
        <f t="shared" si="48"/>
        <v>0</v>
      </c>
      <c r="AN85" s="58">
        <f t="shared" si="66"/>
        <v>0</v>
      </c>
      <c r="AO85" s="58">
        <f t="shared" si="49"/>
        <v>0</v>
      </c>
      <c r="AP85" s="58">
        <f t="shared" si="67"/>
        <v>0</v>
      </c>
      <c r="AQ85" s="58">
        <f t="shared" si="50"/>
        <v>0</v>
      </c>
      <c r="AR85" s="58">
        <f t="shared" si="51"/>
        <v>0</v>
      </c>
      <c r="AS85" s="58">
        <f t="shared" si="80"/>
        <v>0</v>
      </c>
      <c r="AT85" s="58">
        <f t="shared" si="81"/>
        <v>0</v>
      </c>
      <c r="AU85" s="59">
        <f t="shared" si="68"/>
        <v>0</v>
      </c>
      <c r="AV85" s="59">
        <f t="shared" si="52"/>
        <v>0</v>
      </c>
      <c r="AW85" s="16">
        <f t="shared" si="69"/>
        <v>0</v>
      </c>
      <c r="AX85" s="16">
        <f t="shared" si="53"/>
        <v>0</v>
      </c>
      <c r="AY85" s="16">
        <f t="shared" si="54"/>
        <v>0</v>
      </c>
      <c r="AZ85" s="16">
        <f t="shared" si="55"/>
        <v>30</v>
      </c>
      <c r="BA85" s="16">
        <f t="shared" si="56"/>
        <v>20</v>
      </c>
      <c r="BB85" s="16">
        <f t="shared" si="70"/>
        <v>30</v>
      </c>
      <c r="BC85" s="16"/>
      <c r="BD85" s="16"/>
      <c r="BE85" s="16"/>
      <c r="BF85" s="16"/>
      <c r="BG85" s="16"/>
      <c r="BH85" s="16">
        <f t="shared" si="57"/>
        <v>0</v>
      </c>
      <c r="BI85" s="16"/>
      <c r="BJ85" s="16">
        <f t="shared" si="33"/>
      </c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7"/>
      <c r="BV85" s="17"/>
      <c r="BW85" s="17"/>
      <c r="BX85" s="17"/>
      <c r="BY85" s="17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</row>
    <row r="86" spans="1:150" s="5" customFormat="1" ht="15" customHeight="1">
      <c r="A86" s="11"/>
      <c r="B86" s="11"/>
      <c r="C86" s="15"/>
      <c r="D86" s="15"/>
      <c r="E86" s="15"/>
      <c r="F86" s="169" t="str">
        <f t="shared" si="82"/>
        <v> </v>
      </c>
      <c r="G86" s="170"/>
      <c r="H86" s="171" t="str">
        <f>IF(V86=0,IF(V85=1,SUM(H$31:I85)," "),IF(V86=0," ",IF(V87=1,H$31,IF(V87=0,H$14-H$31*(X$18-1)," "))))</f>
        <v> </v>
      </c>
      <c r="I86" s="171"/>
      <c r="J86" s="57" t="str">
        <f>IF(V86=0,IF(V85=1,SUM(J$31:J85)," "),IF(U$1=1,X86,IF(U$1=2,Y86," ")))</f>
        <v> </v>
      </c>
      <c r="K86" s="57" t="str">
        <f>IF(V86=0,IF(V85=1," "," "),IF(U1=1,0,IF(U1=2,0," ")))</f>
        <v> </v>
      </c>
      <c r="L86" s="57" t="str">
        <f t="shared" si="58"/>
        <v> </v>
      </c>
      <c r="M86" s="21"/>
      <c r="N86" s="120"/>
      <c r="O86" s="120"/>
      <c r="P86" s="120"/>
      <c r="Q86" s="135">
        <f t="shared" si="59"/>
        <v>0</v>
      </c>
      <c r="R86" s="135">
        <f t="shared" si="44"/>
        <v>0</v>
      </c>
      <c r="S86" s="135">
        <v>0</v>
      </c>
      <c r="T86" s="135" t="str">
        <f t="shared" si="60"/>
        <v> </v>
      </c>
      <c r="U86" s="16">
        <v>56</v>
      </c>
      <c r="V86" s="16">
        <f t="shared" si="36"/>
        <v>0</v>
      </c>
      <c r="W86" s="16">
        <f t="shared" si="45"/>
        <v>20</v>
      </c>
      <c r="X86" s="58">
        <f t="shared" si="20"/>
        <v>0</v>
      </c>
      <c r="Y86" s="58">
        <f t="shared" si="21"/>
        <v>0</v>
      </c>
      <c r="Z86" s="58">
        <f t="shared" si="61"/>
        <v>0</v>
      </c>
      <c r="AA86" s="58" t="str">
        <f t="shared" si="62"/>
        <v> </v>
      </c>
      <c r="AB86" s="58" t="e">
        <f t="shared" si="63"/>
        <v>#VALUE!</v>
      </c>
      <c r="AC86" s="58">
        <f t="shared" si="77"/>
        <v>0</v>
      </c>
      <c r="AD86" s="58">
        <f t="shared" si="78"/>
        <v>0</v>
      </c>
      <c r="AE86" s="58">
        <f t="shared" si="64"/>
        <v>0</v>
      </c>
      <c r="AF86" s="58">
        <f t="shared" si="65"/>
        <v>0</v>
      </c>
      <c r="AG86" s="58">
        <f t="shared" si="46"/>
        <v>80</v>
      </c>
      <c r="AH86" s="58">
        <f t="shared" si="79"/>
        <v>0</v>
      </c>
      <c r="AI86" s="58">
        <f t="shared" si="27"/>
        <v>0</v>
      </c>
      <c r="AJ86" s="58">
        <f t="shared" si="37"/>
        <v>0</v>
      </c>
      <c r="AK86" s="58"/>
      <c r="AL86" s="58">
        <f t="shared" si="47"/>
        <v>0</v>
      </c>
      <c r="AM86" s="58">
        <f t="shared" si="48"/>
        <v>0</v>
      </c>
      <c r="AN86" s="58">
        <f t="shared" si="66"/>
        <v>0</v>
      </c>
      <c r="AO86" s="58">
        <f t="shared" si="49"/>
        <v>0</v>
      </c>
      <c r="AP86" s="58">
        <f t="shared" si="67"/>
        <v>0</v>
      </c>
      <c r="AQ86" s="58">
        <f t="shared" si="50"/>
        <v>0</v>
      </c>
      <c r="AR86" s="58">
        <f t="shared" si="51"/>
        <v>0</v>
      </c>
      <c r="AS86" s="58">
        <f t="shared" si="80"/>
        <v>0</v>
      </c>
      <c r="AT86" s="58">
        <f t="shared" si="81"/>
        <v>0</v>
      </c>
      <c r="AU86" s="59">
        <f t="shared" si="68"/>
        <v>0</v>
      </c>
      <c r="AV86" s="59">
        <f t="shared" si="52"/>
        <v>0</v>
      </c>
      <c r="AW86" s="16">
        <f t="shared" si="69"/>
        <v>0</v>
      </c>
      <c r="AX86" s="16">
        <f t="shared" si="53"/>
        <v>0</v>
      </c>
      <c r="AY86" s="16">
        <f t="shared" si="54"/>
        <v>0</v>
      </c>
      <c r="AZ86" s="16">
        <f t="shared" si="55"/>
        <v>30</v>
      </c>
      <c r="BA86" s="16">
        <f t="shared" si="56"/>
        <v>20</v>
      </c>
      <c r="BB86" s="16">
        <f t="shared" si="70"/>
        <v>30</v>
      </c>
      <c r="BC86" s="16"/>
      <c r="BD86" s="16"/>
      <c r="BE86" s="16"/>
      <c r="BF86" s="16"/>
      <c r="BG86" s="16"/>
      <c r="BH86" s="16">
        <f t="shared" si="57"/>
        <v>0</v>
      </c>
      <c r="BI86" s="16"/>
      <c r="BJ86" s="16">
        <f t="shared" si="33"/>
      </c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7"/>
      <c r="BV86" s="17"/>
      <c r="BW86" s="17"/>
      <c r="BX86" s="17"/>
      <c r="BY86" s="17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</row>
    <row r="87" spans="1:150" s="5" customFormat="1" ht="15" customHeight="1">
      <c r="A87" s="11"/>
      <c r="B87" s="11"/>
      <c r="C87" s="15"/>
      <c r="D87" s="15"/>
      <c r="E87" s="15"/>
      <c r="F87" s="169" t="str">
        <f t="shared" si="82"/>
        <v> </v>
      </c>
      <c r="G87" s="170"/>
      <c r="H87" s="171" t="str">
        <f>IF(V87=0,IF(V86=1,SUM(H$31:I86)," "),IF(V87=0," ",IF(V88=1,H$31,IF(V88=0,H$14-H$31*(X$18-1)," "))))</f>
        <v> </v>
      </c>
      <c r="I87" s="171"/>
      <c r="J87" s="57" t="str">
        <f>IF(V87=0,IF(V86=1,SUM(J$31:J86)," "),IF(U$1=1,X87,IF(U$1=2,Y87," ")))</f>
        <v> </v>
      </c>
      <c r="K87" s="57" t="str">
        <f>IF(V87=0,IF(V86=1," "," "),IF(U1=1,0,IF(U1=2,0," ")))</f>
        <v> </v>
      </c>
      <c r="L87" s="57" t="str">
        <f t="shared" si="58"/>
        <v> </v>
      </c>
      <c r="M87" s="21"/>
      <c r="N87" s="120"/>
      <c r="O87" s="120"/>
      <c r="P87" s="120"/>
      <c r="Q87" s="135">
        <f t="shared" si="59"/>
        <v>0</v>
      </c>
      <c r="R87" s="135">
        <f t="shared" si="44"/>
        <v>0</v>
      </c>
      <c r="S87" s="135">
        <v>0</v>
      </c>
      <c r="T87" s="135" t="str">
        <f t="shared" si="60"/>
        <v> </v>
      </c>
      <c r="U87" s="16">
        <v>57</v>
      </c>
      <c r="V87" s="16">
        <f t="shared" si="36"/>
        <v>0</v>
      </c>
      <c r="W87" s="16">
        <f t="shared" si="45"/>
        <v>20</v>
      </c>
      <c r="X87" s="58">
        <f t="shared" si="20"/>
        <v>0</v>
      </c>
      <c r="Y87" s="58">
        <f t="shared" si="21"/>
        <v>0</v>
      </c>
      <c r="Z87" s="58">
        <f t="shared" si="61"/>
        <v>0</v>
      </c>
      <c r="AA87" s="58" t="str">
        <f t="shared" si="62"/>
        <v> </v>
      </c>
      <c r="AB87" s="58" t="e">
        <f t="shared" si="63"/>
        <v>#VALUE!</v>
      </c>
      <c r="AC87" s="58">
        <f t="shared" si="77"/>
        <v>0</v>
      </c>
      <c r="AD87" s="58">
        <f t="shared" si="78"/>
        <v>0</v>
      </c>
      <c r="AE87" s="58">
        <f t="shared" si="64"/>
        <v>0</v>
      </c>
      <c r="AF87" s="58">
        <f t="shared" si="65"/>
        <v>0</v>
      </c>
      <c r="AG87" s="58">
        <f t="shared" si="46"/>
        <v>80</v>
      </c>
      <c r="AH87" s="58">
        <f t="shared" si="79"/>
        <v>0</v>
      </c>
      <c r="AI87" s="58">
        <f t="shared" si="27"/>
        <v>0</v>
      </c>
      <c r="AJ87" s="58">
        <f t="shared" si="37"/>
        <v>0</v>
      </c>
      <c r="AK87" s="58"/>
      <c r="AL87" s="58">
        <f t="shared" si="47"/>
        <v>0</v>
      </c>
      <c r="AM87" s="58">
        <f t="shared" si="48"/>
        <v>0</v>
      </c>
      <c r="AN87" s="58">
        <f t="shared" si="66"/>
        <v>0</v>
      </c>
      <c r="AO87" s="58">
        <f t="shared" si="49"/>
        <v>0</v>
      </c>
      <c r="AP87" s="58">
        <f t="shared" si="67"/>
        <v>0</v>
      </c>
      <c r="AQ87" s="58">
        <f t="shared" si="50"/>
        <v>0</v>
      </c>
      <c r="AR87" s="58">
        <f t="shared" si="51"/>
        <v>0</v>
      </c>
      <c r="AS87" s="58">
        <f t="shared" si="80"/>
        <v>0</v>
      </c>
      <c r="AT87" s="58">
        <f t="shared" si="81"/>
        <v>0</v>
      </c>
      <c r="AU87" s="59">
        <f t="shared" si="68"/>
        <v>0</v>
      </c>
      <c r="AV87" s="59">
        <f t="shared" si="52"/>
        <v>0</v>
      </c>
      <c r="AW87" s="16">
        <f t="shared" si="69"/>
        <v>0</v>
      </c>
      <c r="AX87" s="16">
        <f t="shared" si="53"/>
        <v>0</v>
      </c>
      <c r="AY87" s="16">
        <f t="shared" si="54"/>
        <v>0</v>
      </c>
      <c r="AZ87" s="16">
        <f t="shared" si="55"/>
        <v>30</v>
      </c>
      <c r="BA87" s="16">
        <f t="shared" si="56"/>
        <v>20</v>
      </c>
      <c r="BB87" s="16">
        <f t="shared" si="70"/>
        <v>30</v>
      </c>
      <c r="BC87" s="16"/>
      <c r="BD87" s="16"/>
      <c r="BE87" s="16"/>
      <c r="BF87" s="16"/>
      <c r="BG87" s="16"/>
      <c r="BH87" s="16">
        <f t="shared" si="57"/>
        <v>0</v>
      </c>
      <c r="BI87" s="16"/>
      <c r="BJ87" s="16">
        <f t="shared" si="33"/>
      </c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7"/>
      <c r="BV87" s="17"/>
      <c r="BW87" s="17"/>
      <c r="BX87" s="17"/>
      <c r="BY87" s="17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</row>
    <row r="88" spans="1:150" s="5" customFormat="1" ht="15" customHeight="1">
      <c r="A88" s="11"/>
      <c r="B88" s="11"/>
      <c r="C88" s="15"/>
      <c r="D88" s="15"/>
      <c r="E88" s="15"/>
      <c r="F88" s="169" t="str">
        <f t="shared" si="82"/>
        <v> </v>
      </c>
      <c r="G88" s="170"/>
      <c r="H88" s="171" t="str">
        <f>IF(V88=0,IF(V87=1,SUM(H$31:I87)," "),IF(V88=0," ",IF(V89=1,H$31,IF(V89=0,H$14-H$31*(X$18-1)," "))))</f>
        <v> </v>
      </c>
      <c r="I88" s="171"/>
      <c r="J88" s="57" t="str">
        <f>IF(V88=0,IF(V87=1,SUM(J$31:J87)," "),IF(U$1=1,X88,IF(U$1=2,Y88," ")))</f>
        <v> </v>
      </c>
      <c r="K88" s="57" t="str">
        <f>IF(V88=0,IF(V87=1," "," "),IF(U1=1,0,IF(U1=2,0," ")))</f>
        <v> </v>
      </c>
      <c r="L88" s="57" t="str">
        <f t="shared" si="58"/>
        <v> </v>
      </c>
      <c r="M88" s="21"/>
      <c r="N88" s="120"/>
      <c r="O88" s="120"/>
      <c r="P88" s="120"/>
      <c r="Q88" s="135">
        <f t="shared" si="59"/>
        <v>0</v>
      </c>
      <c r="R88" s="135">
        <f t="shared" si="44"/>
        <v>0</v>
      </c>
      <c r="S88" s="135">
        <v>0</v>
      </c>
      <c r="T88" s="135" t="str">
        <f t="shared" si="60"/>
        <v> </v>
      </c>
      <c r="U88" s="16">
        <v>58</v>
      </c>
      <c r="V88" s="16">
        <f t="shared" si="36"/>
        <v>0</v>
      </c>
      <c r="W88" s="16">
        <f t="shared" si="45"/>
        <v>20</v>
      </c>
      <c r="X88" s="58">
        <f t="shared" si="20"/>
        <v>0</v>
      </c>
      <c r="Y88" s="58">
        <f t="shared" si="21"/>
        <v>0</v>
      </c>
      <c r="Z88" s="58">
        <f t="shared" si="61"/>
        <v>0</v>
      </c>
      <c r="AA88" s="58" t="str">
        <f t="shared" si="62"/>
        <v> </v>
      </c>
      <c r="AB88" s="58" t="e">
        <f t="shared" si="63"/>
        <v>#VALUE!</v>
      </c>
      <c r="AC88" s="58">
        <f t="shared" si="77"/>
        <v>0</v>
      </c>
      <c r="AD88" s="58">
        <f t="shared" si="78"/>
        <v>0</v>
      </c>
      <c r="AE88" s="58">
        <f t="shared" si="64"/>
        <v>0</v>
      </c>
      <c r="AF88" s="58">
        <f t="shared" si="65"/>
        <v>0</v>
      </c>
      <c r="AG88" s="58">
        <f t="shared" si="46"/>
        <v>80</v>
      </c>
      <c r="AH88" s="58">
        <f t="shared" si="79"/>
        <v>0</v>
      </c>
      <c r="AI88" s="58">
        <f t="shared" si="27"/>
        <v>0</v>
      </c>
      <c r="AJ88" s="58">
        <f t="shared" si="37"/>
        <v>0</v>
      </c>
      <c r="AK88" s="58"/>
      <c r="AL88" s="58">
        <f t="shared" si="47"/>
        <v>0</v>
      </c>
      <c r="AM88" s="58">
        <f t="shared" si="48"/>
        <v>0</v>
      </c>
      <c r="AN88" s="58">
        <f t="shared" si="66"/>
        <v>0</v>
      </c>
      <c r="AO88" s="58">
        <f t="shared" si="49"/>
        <v>0</v>
      </c>
      <c r="AP88" s="58">
        <f t="shared" si="67"/>
        <v>0</v>
      </c>
      <c r="AQ88" s="58">
        <f t="shared" si="50"/>
        <v>0</v>
      </c>
      <c r="AR88" s="58">
        <f t="shared" si="51"/>
        <v>0</v>
      </c>
      <c r="AS88" s="58">
        <f t="shared" si="80"/>
        <v>0</v>
      </c>
      <c r="AT88" s="58">
        <f t="shared" si="81"/>
        <v>0</v>
      </c>
      <c r="AU88" s="59">
        <f t="shared" si="68"/>
        <v>0</v>
      </c>
      <c r="AV88" s="59">
        <f t="shared" si="52"/>
        <v>0</v>
      </c>
      <c r="AW88" s="16">
        <f t="shared" si="69"/>
        <v>0</v>
      </c>
      <c r="AX88" s="16">
        <f t="shared" si="53"/>
        <v>0</v>
      </c>
      <c r="AY88" s="16">
        <f t="shared" si="54"/>
        <v>0</v>
      </c>
      <c r="AZ88" s="16">
        <f t="shared" si="55"/>
        <v>30</v>
      </c>
      <c r="BA88" s="16">
        <f t="shared" si="56"/>
        <v>20</v>
      </c>
      <c r="BB88" s="16">
        <f t="shared" si="70"/>
        <v>30</v>
      </c>
      <c r="BC88" s="16"/>
      <c r="BD88" s="16"/>
      <c r="BE88" s="16"/>
      <c r="BF88" s="16"/>
      <c r="BG88" s="16"/>
      <c r="BH88" s="16">
        <f t="shared" si="57"/>
        <v>0</v>
      </c>
      <c r="BI88" s="16"/>
      <c r="BJ88" s="16">
        <f t="shared" si="33"/>
      </c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7"/>
      <c r="BV88" s="17"/>
      <c r="BW88" s="17"/>
      <c r="BX88" s="17"/>
      <c r="BY88" s="17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</row>
    <row r="89" spans="1:150" s="5" customFormat="1" ht="15" customHeight="1">
      <c r="A89" s="11"/>
      <c r="B89" s="11"/>
      <c r="C89" s="15"/>
      <c r="D89" s="15"/>
      <c r="E89" s="15"/>
      <c r="F89" s="169" t="str">
        <f t="shared" si="82"/>
        <v> </v>
      </c>
      <c r="G89" s="170"/>
      <c r="H89" s="171" t="str">
        <f>IF(V89=0,IF(V88=1,SUM(H$31:I88)," "),IF(V89=0," ",IF(V90=1,H$31,IF(V90=0,H$14-H$31*(X$18-1)," "))))</f>
        <v> </v>
      </c>
      <c r="I89" s="171"/>
      <c r="J89" s="57" t="str">
        <f>IF(V89=0,IF(V88=1,SUM(J$31:J88)," "),IF(U$1=1,X89,IF(U$1=2,Y89," ")))</f>
        <v> </v>
      </c>
      <c r="K89" s="57" t="str">
        <f>IF(V89=0,IF(V88=1," "," "),IF(U1=1,0,IF(U1=2,0," ")))</f>
        <v> </v>
      </c>
      <c r="L89" s="57" t="str">
        <f t="shared" si="58"/>
        <v> </v>
      </c>
      <c r="M89" s="21"/>
      <c r="N89" s="120"/>
      <c r="O89" s="120"/>
      <c r="P89" s="120"/>
      <c r="Q89" s="135">
        <f t="shared" si="59"/>
        <v>0</v>
      </c>
      <c r="R89" s="135">
        <f t="shared" si="44"/>
        <v>0</v>
      </c>
      <c r="S89" s="135">
        <v>0</v>
      </c>
      <c r="T89" s="135" t="str">
        <f t="shared" si="60"/>
        <v> </v>
      </c>
      <c r="U89" s="16">
        <v>59</v>
      </c>
      <c r="V89" s="16">
        <f t="shared" si="36"/>
        <v>0</v>
      </c>
      <c r="W89" s="16">
        <f t="shared" si="45"/>
        <v>20</v>
      </c>
      <c r="X89" s="58">
        <f t="shared" si="20"/>
        <v>0</v>
      </c>
      <c r="Y89" s="58">
        <f t="shared" si="21"/>
        <v>0</v>
      </c>
      <c r="Z89" s="58">
        <f t="shared" si="61"/>
        <v>0</v>
      </c>
      <c r="AA89" s="58" t="str">
        <f t="shared" si="62"/>
        <v> </v>
      </c>
      <c r="AB89" s="58" t="e">
        <f t="shared" si="63"/>
        <v>#VALUE!</v>
      </c>
      <c r="AC89" s="58">
        <f t="shared" si="77"/>
        <v>0</v>
      </c>
      <c r="AD89" s="58">
        <f t="shared" si="78"/>
        <v>0</v>
      </c>
      <c r="AE89" s="58">
        <f t="shared" si="64"/>
        <v>0</v>
      </c>
      <c r="AF89" s="58">
        <f t="shared" si="65"/>
        <v>0</v>
      </c>
      <c r="AG89" s="58">
        <f t="shared" si="46"/>
        <v>80</v>
      </c>
      <c r="AH89" s="58">
        <f t="shared" si="79"/>
        <v>0</v>
      </c>
      <c r="AI89" s="58">
        <f t="shared" si="27"/>
        <v>0</v>
      </c>
      <c r="AJ89" s="58">
        <f t="shared" si="37"/>
        <v>0</v>
      </c>
      <c r="AK89" s="58"/>
      <c r="AL89" s="58">
        <f t="shared" si="47"/>
        <v>0</v>
      </c>
      <c r="AM89" s="58">
        <f t="shared" si="48"/>
        <v>0</v>
      </c>
      <c r="AN89" s="58">
        <f t="shared" si="66"/>
        <v>0</v>
      </c>
      <c r="AO89" s="58">
        <f t="shared" si="49"/>
        <v>0</v>
      </c>
      <c r="AP89" s="58">
        <f t="shared" si="67"/>
        <v>0</v>
      </c>
      <c r="AQ89" s="58">
        <f t="shared" si="50"/>
        <v>0</v>
      </c>
      <c r="AR89" s="58">
        <f t="shared" si="51"/>
        <v>0</v>
      </c>
      <c r="AS89" s="58">
        <f t="shared" si="80"/>
        <v>0</v>
      </c>
      <c r="AT89" s="58">
        <f t="shared" si="81"/>
        <v>0</v>
      </c>
      <c r="AU89" s="59">
        <f t="shared" si="68"/>
        <v>0</v>
      </c>
      <c r="AV89" s="59">
        <f t="shared" si="52"/>
        <v>0</v>
      </c>
      <c r="AW89" s="16">
        <f t="shared" si="69"/>
        <v>0</v>
      </c>
      <c r="AX89" s="16">
        <f t="shared" si="53"/>
        <v>0</v>
      </c>
      <c r="AY89" s="16">
        <f t="shared" si="54"/>
        <v>0</v>
      </c>
      <c r="AZ89" s="16">
        <f t="shared" si="55"/>
        <v>30</v>
      </c>
      <c r="BA89" s="16">
        <f t="shared" si="56"/>
        <v>20</v>
      </c>
      <c r="BB89" s="16">
        <f t="shared" si="70"/>
        <v>30</v>
      </c>
      <c r="BC89" s="16"/>
      <c r="BD89" s="16"/>
      <c r="BE89" s="16"/>
      <c r="BF89" s="16"/>
      <c r="BG89" s="16"/>
      <c r="BH89" s="16">
        <f t="shared" si="57"/>
        <v>0</v>
      </c>
      <c r="BI89" s="16"/>
      <c r="BJ89" s="16">
        <f t="shared" si="33"/>
      </c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7"/>
      <c r="BV89" s="17"/>
      <c r="BW89" s="17"/>
      <c r="BX89" s="17"/>
      <c r="BY89" s="17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</row>
    <row r="90" spans="1:150" s="5" customFormat="1" ht="15" customHeight="1">
      <c r="A90" s="11"/>
      <c r="B90" s="11"/>
      <c r="C90" s="15"/>
      <c r="D90" s="15"/>
      <c r="E90" s="15"/>
      <c r="F90" s="169" t="str">
        <f t="shared" si="82"/>
        <v> </v>
      </c>
      <c r="G90" s="170"/>
      <c r="H90" s="171" t="str">
        <f>IF(V90=0,IF(V89=1,SUM(H$31:I89)," "),IF(V90=0," ",IF(V91=1,H$31,IF(V91=0,H$14-H$31*(X$18-1)," "))))</f>
        <v> </v>
      </c>
      <c r="I90" s="171"/>
      <c r="J90" s="57" t="str">
        <f>IF(V90=0,IF(V89=1,SUM(J$31:J89)," "),IF(U$1=1,X90,IF(U$1=2,Y90," ")))</f>
        <v> </v>
      </c>
      <c r="K90" s="57" t="str">
        <f>IF(V90=0,IF(V89=1," "," "),IF(U1=1,0,IF(U1=2,0," ")))</f>
        <v> </v>
      </c>
      <c r="L90" s="57" t="str">
        <f t="shared" si="58"/>
        <v> </v>
      </c>
      <c r="M90" s="21"/>
      <c r="N90" s="120"/>
      <c r="O90" s="120"/>
      <c r="P90" s="120"/>
      <c r="Q90" s="135">
        <f t="shared" si="59"/>
        <v>0</v>
      </c>
      <c r="R90" s="135">
        <f t="shared" si="44"/>
        <v>0</v>
      </c>
      <c r="S90" s="135">
        <v>0</v>
      </c>
      <c r="T90" s="135" t="str">
        <f t="shared" si="60"/>
        <v> </v>
      </c>
      <c r="U90" s="16">
        <v>60</v>
      </c>
      <c r="V90" s="16">
        <f t="shared" si="36"/>
        <v>0</v>
      </c>
      <c r="W90" s="16">
        <f t="shared" si="45"/>
        <v>20</v>
      </c>
      <c r="X90" s="58">
        <f t="shared" si="20"/>
        <v>0</v>
      </c>
      <c r="Y90" s="58">
        <f t="shared" si="21"/>
        <v>0</v>
      </c>
      <c r="Z90" s="58">
        <f t="shared" si="61"/>
        <v>0</v>
      </c>
      <c r="AA90" s="58" t="str">
        <f t="shared" si="62"/>
        <v> </v>
      </c>
      <c r="AB90" s="58" t="e">
        <f t="shared" si="63"/>
        <v>#VALUE!</v>
      </c>
      <c r="AC90" s="58">
        <f t="shared" si="77"/>
        <v>0</v>
      </c>
      <c r="AD90" s="58">
        <f t="shared" si="78"/>
        <v>0</v>
      </c>
      <c r="AE90" s="58">
        <f t="shared" si="64"/>
        <v>0</v>
      </c>
      <c r="AF90" s="58">
        <f t="shared" si="65"/>
        <v>0</v>
      </c>
      <c r="AG90" s="58">
        <f t="shared" si="46"/>
        <v>80</v>
      </c>
      <c r="AH90" s="58">
        <f t="shared" si="79"/>
        <v>0</v>
      </c>
      <c r="AI90" s="58">
        <f t="shared" si="27"/>
        <v>0</v>
      </c>
      <c r="AJ90" s="58">
        <f t="shared" si="37"/>
        <v>0</v>
      </c>
      <c r="AK90" s="58"/>
      <c r="AL90" s="58">
        <f t="shared" si="47"/>
        <v>0</v>
      </c>
      <c r="AM90" s="58">
        <f t="shared" si="48"/>
        <v>0</v>
      </c>
      <c r="AN90" s="58">
        <f t="shared" si="66"/>
        <v>0</v>
      </c>
      <c r="AO90" s="58">
        <f t="shared" si="49"/>
        <v>0</v>
      </c>
      <c r="AP90" s="58">
        <f t="shared" si="67"/>
        <v>0</v>
      </c>
      <c r="AQ90" s="58">
        <f t="shared" si="50"/>
        <v>0</v>
      </c>
      <c r="AR90" s="58">
        <f t="shared" si="51"/>
        <v>0</v>
      </c>
      <c r="AS90" s="58">
        <f t="shared" si="80"/>
        <v>0</v>
      </c>
      <c r="AT90" s="58">
        <f t="shared" si="81"/>
        <v>0</v>
      </c>
      <c r="AU90" s="59">
        <f t="shared" si="68"/>
        <v>0</v>
      </c>
      <c r="AV90" s="59">
        <f t="shared" si="52"/>
        <v>0</v>
      </c>
      <c r="AW90" s="16">
        <f t="shared" si="69"/>
        <v>0</v>
      </c>
      <c r="AX90" s="16">
        <f t="shared" si="53"/>
        <v>0</v>
      </c>
      <c r="AY90" s="16">
        <f t="shared" si="54"/>
        <v>0</v>
      </c>
      <c r="AZ90" s="16">
        <f t="shared" si="55"/>
        <v>30</v>
      </c>
      <c r="BA90" s="16">
        <f t="shared" si="56"/>
        <v>20</v>
      </c>
      <c r="BB90" s="16">
        <f t="shared" si="70"/>
        <v>30</v>
      </c>
      <c r="BC90" s="16"/>
      <c r="BD90" s="16"/>
      <c r="BE90" s="16"/>
      <c r="BF90" s="16"/>
      <c r="BG90" s="16"/>
      <c r="BH90" s="16">
        <f t="shared" si="57"/>
        <v>0</v>
      </c>
      <c r="BI90" s="16"/>
      <c r="BJ90" s="16">
        <f t="shared" si="33"/>
      </c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7"/>
      <c r="BV90" s="17"/>
      <c r="BW90" s="17"/>
      <c r="BX90" s="17"/>
      <c r="BY90" s="17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</row>
    <row r="91" spans="1:150" s="5" customFormat="1" ht="15" customHeight="1">
      <c r="A91" s="11"/>
      <c r="B91" s="11"/>
      <c r="C91" s="15"/>
      <c r="D91" s="15"/>
      <c r="E91" s="15"/>
      <c r="F91" s="169" t="str">
        <f t="shared" si="82"/>
        <v> </v>
      </c>
      <c r="G91" s="170"/>
      <c r="H91" s="171" t="str">
        <f>IF(V91=0,IF(V90=1,SUM(H$31:I90)," "),IF(V91=0," ",IF(V92=1,H$31,IF(V92=0,H$14-H$31*(X$18-1)," "))))</f>
        <v> </v>
      </c>
      <c r="I91" s="171"/>
      <c r="J91" s="57" t="str">
        <f>IF(V91=0,IF(V90=1,SUM(J$31:J90)," "),IF(U$1=1,X91,IF(U$1=2,Y91," ")))</f>
        <v> </v>
      </c>
      <c r="K91" s="57" t="str">
        <f>IF(V91=0,IF(V90=1," "," "),IF(U1=1,0,IF(U1=2,0," ")))</f>
        <v> </v>
      </c>
      <c r="L91" s="57" t="str">
        <f t="shared" si="58"/>
        <v> </v>
      </c>
      <c r="M91" s="21"/>
      <c r="N91" s="120"/>
      <c r="O91" s="120"/>
      <c r="P91" s="120"/>
      <c r="Q91" s="135">
        <f t="shared" si="59"/>
        <v>0</v>
      </c>
      <c r="R91" s="135">
        <f t="shared" si="44"/>
        <v>0</v>
      </c>
      <c r="S91" s="135">
        <v>0</v>
      </c>
      <c r="T91" s="135" t="str">
        <f t="shared" si="60"/>
        <v> </v>
      </c>
      <c r="U91" s="16">
        <v>61</v>
      </c>
      <c r="V91" s="16">
        <f t="shared" si="36"/>
        <v>0</v>
      </c>
      <c r="W91" s="16">
        <f t="shared" si="45"/>
        <v>20</v>
      </c>
      <c r="X91" s="58">
        <f t="shared" si="20"/>
        <v>0</v>
      </c>
      <c r="Y91" s="58">
        <f t="shared" si="21"/>
        <v>0</v>
      </c>
      <c r="Z91" s="58">
        <f t="shared" si="61"/>
        <v>0</v>
      </c>
      <c r="AA91" s="58" t="str">
        <f t="shared" si="62"/>
        <v> </v>
      </c>
      <c r="AB91" s="58" t="e">
        <f t="shared" si="63"/>
        <v>#VALUE!</v>
      </c>
      <c r="AC91" s="58">
        <f>IF(V92=1,Z90*H$15*20/36000+Z91*H$15*10/36000,IF(V92=0,IF(V91=0,0,IF(H$21&gt;20,Z90*H$15*20/36000+Z91*H$15*(AB$16-20)/36000,Z91*H$15*AB$16/36000))))</f>
        <v>0</v>
      </c>
      <c r="AD91" s="58">
        <f>IF(V92=1,Z90*H$15*20/36000+Z91*H$15*10/36000,IF(V92=0,IF(V91=0,0,IF(H$21&gt;20,Z90*H$15*20/36000+Z91*H$15*(AB$16-20)/36000,Z91*H$15*AB$16/36000))))</f>
        <v>0</v>
      </c>
      <c r="AE91" s="58">
        <f>IF(V92=1,H14*H$15*20/36000+H14*H$15*10/36000,IF(V92=0,IF(V91=0,0,H14*H$15*AB$16/36000)))</f>
        <v>0</v>
      </c>
      <c r="AF91" s="58">
        <f t="shared" si="65"/>
        <v>0</v>
      </c>
      <c r="AG91" s="58">
        <f t="shared" si="46"/>
        <v>80</v>
      </c>
      <c r="AH91" s="58">
        <f>IF(V92=1,AG90*H$15*20/36000+AG91*H$15*10/36000,IF(V92=0,IF(V91=0,0,IF(H$21&gt;20,AG90*H$15*20/36000+AG91*H$15*(AB$16-20)/36000,AG91*H$15*AB$16/36000))))</f>
        <v>0</v>
      </c>
      <c r="AI91" s="58">
        <f t="shared" si="27"/>
        <v>0</v>
      </c>
      <c r="AJ91" s="58">
        <f>Z91*AB$16</f>
        <v>0</v>
      </c>
      <c r="AK91" s="58"/>
      <c r="AL91" s="58">
        <f t="shared" si="47"/>
        <v>0</v>
      </c>
      <c r="AM91" s="58">
        <f t="shared" si="48"/>
        <v>0</v>
      </c>
      <c r="AN91" s="58">
        <f>IF(V92=1,H14*K$16*20/36000+H14*K$16*10/36000,IF(V92=0,IF(V91=0,0,H14*K$16*AB$16/36000)))</f>
        <v>0</v>
      </c>
      <c r="AO91" s="58">
        <f t="shared" si="49"/>
        <v>0</v>
      </c>
      <c r="AP91" s="58">
        <f>IF(V92=1,AG90*K$16*20/36000+AG91*K$16*10/36000,IF(V92=0,IF(V91=0,0,AG91*K$16*AB$16/36000)))</f>
        <v>0</v>
      </c>
      <c r="AQ91" s="58">
        <f t="shared" si="50"/>
        <v>0</v>
      </c>
      <c r="AR91" s="58">
        <f t="shared" si="51"/>
        <v>0</v>
      </c>
      <c r="AS91" s="58">
        <f>IF(V92=1,AR90*K$16*20/36000+AR91*K$16*10/36000,IF(V92=0,IF(V91=0,0,AR91*K$16*AB$16/36000)))</f>
        <v>0</v>
      </c>
      <c r="AT91" s="58">
        <f>IF(V92=1,AR90*K$16*20/36000+AR91*K$16*10/36000,IF(V92=0,IF(V91=0,0,AR91*K$16*AB$16/36000)))</f>
        <v>0</v>
      </c>
      <c r="AU91" s="59">
        <f t="shared" si="68"/>
        <v>0</v>
      </c>
      <c r="AV91" s="59">
        <f t="shared" si="52"/>
        <v>0</v>
      </c>
      <c r="AW91" s="16">
        <f t="shared" si="69"/>
        <v>0</v>
      </c>
      <c r="AX91" s="16">
        <f t="shared" si="53"/>
        <v>0</v>
      </c>
      <c r="AY91" s="16">
        <f t="shared" si="54"/>
        <v>0</v>
      </c>
      <c r="AZ91" s="16">
        <f t="shared" si="55"/>
        <v>30</v>
      </c>
      <c r="BA91" s="16">
        <f t="shared" si="56"/>
        <v>20</v>
      </c>
      <c r="BB91" s="16">
        <f t="shared" si="70"/>
        <v>30</v>
      </c>
      <c r="BC91" s="16"/>
      <c r="BD91" s="16"/>
      <c r="BE91" s="16"/>
      <c r="BF91" s="16"/>
      <c r="BG91" s="16"/>
      <c r="BH91" s="16">
        <f t="shared" si="57"/>
        <v>0</v>
      </c>
      <c r="BI91" s="16"/>
      <c r="BJ91" s="16">
        <f t="shared" si="33"/>
      </c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7"/>
      <c r="BV91" s="17"/>
      <c r="BW91" s="17"/>
      <c r="BX91" s="17"/>
      <c r="BY91" s="17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</row>
    <row r="92" spans="1:77" s="9" customFormat="1" ht="15" customHeight="1">
      <c r="A92" s="11"/>
      <c r="B92" s="11"/>
      <c r="C92" s="61"/>
      <c r="D92" s="61"/>
      <c r="E92" s="61"/>
      <c r="F92" s="205" t="str">
        <f>IF(V92=0,IF(V91=1,"ИТОГО"," ")," ")</f>
        <v> </v>
      </c>
      <c r="G92" s="205"/>
      <c r="H92" s="206" t="str">
        <f>IF(V92=0,IF(V91=1,H28," ")," ")</f>
        <v> </v>
      </c>
      <c r="I92" s="206"/>
      <c r="J92" s="62" t="str">
        <f>IF(V92=0,IF(V91=1,SUM(J31:J91)," ")," ")</f>
        <v> </v>
      </c>
      <c r="K92" s="63" t="str">
        <f>IF(V92=0,IF(V91=1," "," "),IF(U1=1,0,IF(U1=2,0," ")))</f>
        <v> </v>
      </c>
      <c r="L92" s="62" t="str">
        <f t="shared" si="58"/>
        <v> </v>
      </c>
      <c r="M92" s="21"/>
      <c r="N92" s="120"/>
      <c r="O92" s="120"/>
      <c r="P92" s="120"/>
      <c r="Q92" s="136"/>
      <c r="R92" s="136"/>
      <c r="S92" s="136"/>
      <c r="T92" s="136"/>
      <c r="U92" s="137">
        <f>IF(C100=0,0,62000)</f>
        <v>0</v>
      </c>
      <c r="V92" s="137"/>
      <c r="W92" s="65"/>
      <c r="X92" s="64">
        <f>SUM(X31:X91)</f>
        <v>1347.9787611111099</v>
      </c>
      <c r="Y92" s="64">
        <f>SUM(Y31:Y91)</f>
        <v>1347.9787611111099</v>
      </c>
      <c r="Z92" s="64">
        <f>SUM(Z31:Z91)</f>
        <v>97992.47999999992</v>
      </c>
      <c r="AA92" s="64"/>
      <c r="AB92" s="64"/>
      <c r="AC92" s="64">
        <f>SUM(AC31:AC91)</f>
        <v>1347.9787611111099</v>
      </c>
      <c r="AD92" s="64">
        <f>SUM(AD31:AD91)</f>
        <v>1347.9787611111099</v>
      </c>
      <c r="AE92" s="64">
        <f>SUM(AE31:AE91)</f>
        <v>2572.333333333333</v>
      </c>
      <c r="AF92" s="64">
        <f>SUM(AF31:AF91)</f>
        <v>2400</v>
      </c>
      <c r="AG92" s="64"/>
      <c r="AH92" s="64"/>
      <c r="AI92" s="64"/>
      <c r="AJ92" s="64">
        <f>SUM(AJ31:AJ91)</f>
        <v>3009956.599999997</v>
      </c>
      <c r="AK92" s="64"/>
      <c r="AL92" s="64">
        <f>SUM(AL31:AL91)</f>
        <v>0</v>
      </c>
      <c r="AM92" s="64">
        <f>SUM(AM31:AM91)</f>
        <v>0</v>
      </c>
      <c r="AN92" s="64">
        <f>SUM(AN31:AN91)</f>
        <v>0</v>
      </c>
      <c r="AO92" s="64">
        <f>SUM(AO31:AO91)</f>
        <v>0</v>
      </c>
      <c r="AP92" s="64"/>
      <c r="AQ92" s="64"/>
      <c r="AR92" s="64">
        <f>SUM(AR31:AR91)</f>
        <v>97992.47999999992</v>
      </c>
      <c r="AS92" s="64">
        <f>SUM(AS31:AS91)</f>
        <v>0</v>
      </c>
      <c r="AT92" s="64">
        <f>SUM(AT31:AT91)</f>
        <v>0</v>
      </c>
      <c r="AU92" s="64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1"/>
      <c r="BV92" s="61"/>
      <c r="BW92" s="61"/>
      <c r="BX92" s="61"/>
      <c r="BY92" s="61"/>
    </row>
    <row r="93" spans="3:25" ht="66.75" customHeight="1" hidden="1">
      <c r="C93" s="66"/>
      <c r="D93" s="66"/>
      <c r="E93" s="66"/>
      <c r="F93" s="198" t="str">
        <f>IF(U1=2,IF(J14="USD",W93,IF(J14="бел. рублей",V93)),IF(L10=1,V99," "))</f>
        <v>*Тариф 50 000 белорусских рублей должен быть внесен Вами в течение 30 дней с момента подписания Соглашения об овердрафтном кредите одним из нижеприведенных способов:
1. путем пополнения карт-счета Кредитополучателя в порядке, установленном Договором карт-</v>
      </c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38"/>
      <c r="V93" s="138" t="s">
        <v>36</v>
      </c>
      <c r="W93" s="138" t="s">
        <v>36</v>
      </c>
      <c r="X93" s="138"/>
      <c r="Y93" s="138"/>
    </row>
    <row r="94" spans="3:25" ht="9" customHeight="1" hidden="1">
      <c r="C94" s="67"/>
      <c r="D94" s="67"/>
      <c r="E94" s="67"/>
      <c r="F94" s="68"/>
      <c r="G94" s="68"/>
      <c r="H94" s="68"/>
      <c r="I94" s="68"/>
      <c r="J94" s="68"/>
      <c r="K94" s="68"/>
      <c r="L94" s="68"/>
      <c r="M94" s="69"/>
      <c r="N94" s="139"/>
      <c r="O94" s="139"/>
      <c r="P94" s="139"/>
      <c r="Q94" s="139"/>
      <c r="R94" s="139"/>
      <c r="S94" s="139"/>
      <c r="T94" s="139"/>
      <c r="U94" s="138"/>
      <c r="V94" s="138"/>
      <c r="W94" s="138"/>
      <c r="X94" s="138"/>
      <c r="Y94" s="138"/>
    </row>
    <row r="95" spans="3:25" ht="6.75" customHeight="1" hidden="1">
      <c r="C95" s="67"/>
      <c r="D95" s="67"/>
      <c r="E95" s="67"/>
      <c r="F95" s="198" t="s">
        <v>37</v>
      </c>
      <c r="G95" s="198"/>
      <c r="H95" s="198"/>
      <c r="I95" s="198"/>
      <c r="J95" s="198"/>
      <c r="K95" s="198"/>
      <c r="L95" s="198"/>
      <c r="M95" s="70"/>
      <c r="N95" s="140"/>
      <c r="O95" s="140"/>
      <c r="P95" s="140"/>
      <c r="Q95" s="140"/>
      <c r="R95" s="140"/>
      <c r="S95" s="140"/>
      <c r="T95" s="140"/>
      <c r="U95" s="138"/>
      <c r="X95" s="138"/>
      <c r="Y95" s="138"/>
    </row>
    <row r="96" spans="11:24" ht="14.25" customHeight="1" hidden="1">
      <c r="K96" s="71"/>
      <c r="L96" s="71"/>
      <c r="M96" s="72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</row>
    <row r="97" spans="10:25" ht="5.25" customHeight="1" hidden="1">
      <c r="J97" s="74"/>
      <c r="K97" s="74"/>
      <c r="L97" s="74"/>
      <c r="M97" s="75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</row>
    <row r="98" spans="1:77" s="2" customFormat="1" ht="19.5" customHeight="1" hidden="1">
      <c r="A98" s="11"/>
      <c r="B98" s="11"/>
      <c r="C98" s="15"/>
      <c r="D98" s="15"/>
      <c r="E98" s="15"/>
      <c r="F98" s="212" t="str">
        <f>IF(U1=2,W98,IF(U1=1,V98," "))</f>
        <v>* Все платежи в погашение кредитов осуществляются не позднее 20-го числа текущего месяца.</v>
      </c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78"/>
      <c r="V98" s="138" t="str">
        <f>IF(G30=30,"* Погашение платежей по кредиту осуществлять через отделения РУП &lt;Белпочта&gt; не позднее 29 числа каждого месяца.","* Погашение платежей по кредиту осуществлять через отделения РУП &lt;Белпочта&gt; не позднее 19 числа каждого месяца.")</f>
        <v>* Погашение платежей по кредиту осуществлять через отделения РУП &lt;Белпочта&gt; не позднее 19 числа каждого месяца.</v>
      </c>
      <c r="W98" s="138" t="str">
        <f>IF(G30=30,"* Все платежи в погашение кредитов осуществляются не позднее 30-го числа текущего месяца.","* Все платежи в погашение кредитов осуществляются не позднее 20-го числа текущего месяца.")</f>
        <v>* Все платежи в погашение кредитов осуществляются не позднее 20-го числа текущего месяца.</v>
      </c>
      <c r="X98" s="78"/>
      <c r="Y98" s="78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5"/>
      <c r="BV98" s="15"/>
      <c r="BW98" s="15"/>
      <c r="BX98" s="15"/>
      <c r="BY98" s="15"/>
    </row>
    <row r="99" spans="1:77" s="2" customFormat="1" ht="30" customHeight="1" hidden="1">
      <c r="A99" s="11"/>
      <c r="B99" s="11"/>
      <c r="C99" s="77"/>
      <c r="D99" s="77"/>
      <c r="E99" s="77"/>
      <c r="F99" s="212" t="s">
        <v>122</v>
      </c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78"/>
      <c r="V99" s="138" t="s">
        <v>36</v>
      </c>
      <c r="W99" s="78"/>
      <c r="X99" s="78"/>
      <c r="Y99" s="78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5"/>
      <c r="BV99" s="15"/>
      <c r="BW99" s="15"/>
      <c r="BX99" s="15"/>
      <c r="BY99" s="15"/>
    </row>
    <row r="100" spans="3:29" ht="5.25" customHeight="1" hidden="1">
      <c r="C100" s="77"/>
      <c r="D100" s="77"/>
      <c r="E100" s="77"/>
      <c r="F100" s="76"/>
      <c r="G100" s="76"/>
      <c r="H100" s="76"/>
      <c r="I100" s="76"/>
      <c r="J100" s="76"/>
      <c r="K100" s="76"/>
      <c r="L100" s="76"/>
      <c r="M100" s="75"/>
      <c r="N100" s="78"/>
      <c r="O100" s="78"/>
      <c r="P100" s="78"/>
      <c r="Q100" s="78"/>
      <c r="R100" s="78"/>
      <c r="S100" s="78"/>
      <c r="T100" s="78"/>
      <c r="U100" s="78"/>
      <c r="V100" s="207" t="s">
        <v>38</v>
      </c>
      <c r="W100" s="207"/>
      <c r="X100" s="207" t="s">
        <v>39</v>
      </c>
      <c r="Y100" s="207"/>
      <c r="Z100" s="29"/>
      <c r="AA100" s="29"/>
      <c r="AB100" s="29"/>
      <c r="AC100" s="29"/>
    </row>
    <row r="101" spans="3:29" ht="12.75" customHeight="1" hidden="1">
      <c r="C101" s="73"/>
      <c r="D101" s="73"/>
      <c r="E101" s="73"/>
      <c r="F101" s="199" t="s">
        <v>40</v>
      </c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42"/>
      <c r="T101" s="142"/>
      <c r="U101" s="78"/>
      <c r="V101" s="78" t="s">
        <v>41</v>
      </c>
      <c r="W101" s="78" t="s">
        <v>42</v>
      </c>
      <c r="X101" s="78" t="s">
        <v>41</v>
      </c>
      <c r="Y101" s="78" t="s">
        <v>42</v>
      </c>
      <c r="Z101" s="78" t="s">
        <v>43</v>
      </c>
      <c r="AA101" s="78"/>
      <c r="AB101" s="78"/>
      <c r="AC101" s="78" t="s">
        <v>44</v>
      </c>
    </row>
    <row r="102" spans="1:77" s="10" customFormat="1" ht="25.5" customHeight="1" hidden="1">
      <c r="A102" s="11"/>
      <c r="B102" s="11"/>
      <c r="C102" s="79">
        <f aca="true" t="shared" si="83" ref="C102:C109">IF(LEFT(F102,1)="I",1,0)</f>
        <v>1</v>
      </c>
      <c r="D102" s="79"/>
      <c r="E102" s="79"/>
      <c r="F102" s="191" t="str">
        <f>IF(L$10=1,Z102,IF(V$10=1,AC102,IF(U$10=1,IF(J$14="бел. рублей",IF(H$22="Неустойка",W102,Y102),IF(H$22="Неустойка",V102,X102)))))</f>
        <v>I. Иные платежи, согласно Перечню ставок вознаграждения за операции ЗАО «Трастбанк»:</v>
      </c>
      <c r="G102" s="191"/>
      <c r="H102" s="191"/>
      <c r="I102" s="191"/>
      <c r="J102" s="191"/>
      <c r="K102" s="191"/>
      <c r="L102" s="191"/>
      <c r="M102" s="80"/>
      <c r="N102" s="143"/>
      <c r="O102" s="143"/>
      <c r="P102" s="143"/>
      <c r="Q102" s="143"/>
      <c r="R102" s="143"/>
      <c r="S102" s="143"/>
      <c r="T102" s="143"/>
      <c r="U102" s="83"/>
      <c r="V102" s="82" t="s">
        <v>45</v>
      </c>
      <c r="W102" s="82" t="s">
        <v>45</v>
      </c>
      <c r="X102" s="82" t="s">
        <v>45</v>
      </c>
      <c r="Y102" s="82" t="s">
        <v>45</v>
      </c>
      <c r="Z102" s="82" t="s">
        <v>45</v>
      </c>
      <c r="AA102" s="82"/>
      <c r="AB102" s="82"/>
      <c r="AC102" s="82" t="s">
        <v>45</v>
      </c>
      <c r="AD102" s="82" t="s">
        <v>45</v>
      </c>
      <c r="AE102" s="82"/>
      <c r="AF102" s="82"/>
      <c r="AG102" s="82"/>
      <c r="AH102" s="82"/>
      <c r="AI102" s="82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1"/>
      <c r="BV102" s="81"/>
      <c r="BW102" s="81"/>
      <c r="BX102" s="81"/>
      <c r="BY102" s="81"/>
    </row>
    <row r="103" spans="1:77" s="10" customFormat="1" ht="25.5" customHeight="1" hidden="1">
      <c r="A103" s="11"/>
      <c r="B103" s="11"/>
      <c r="C103" s="79">
        <f t="shared" si="83"/>
        <v>0</v>
      </c>
      <c r="D103" s="79"/>
      <c r="E103" s="79"/>
      <c r="F103" s="191" t="str">
        <f>IF(L$10=1,Z103,IF(V$10=1,AC103,IF(U$10=1,IF(J$14="бел. рублей",IF(H$22="Неустойка",W103,Y103),IF(H$22="Неустойка",V103,X103)))))</f>
        <v>1) Регистрация в платежной системе карточки на три года  (уплачивается в течение первого месяца с даты открытия карт-счета): 50 000 белорусских рублей;</v>
      </c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83"/>
      <c r="V103" s="84" t="s">
        <v>46</v>
      </c>
      <c r="W103" s="84" t="s">
        <v>47</v>
      </c>
      <c r="X103" s="84" t="s">
        <v>46</v>
      </c>
      <c r="Y103" s="84" t="s">
        <v>47</v>
      </c>
      <c r="Z103" s="84" t="s">
        <v>48</v>
      </c>
      <c r="AA103" s="84"/>
      <c r="AB103" s="84"/>
      <c r="AC103" s="84" t="s">
        <v>49</v>
      </c>
      <c r="AD103" s="84" t="s">
        <v>49</v>
      </c>
      <c r="AE103" s="84"/>
      <c r="AF103" s="84"/>
      <c r="AG103" s="84"/>
      <c r="AH103" s="84"/>
      <c r="AI103" s="84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1"/>
      <c r="BV103" s="81"/>
      <c r="BW103" s="81"/>
      <c r="BX103" s="81"/>
      <c r="BY103" s="81"/>
    </row>
    <row r="104" spans="1:77" s="10" customFormat="1" ht="25.5" customHeight="1" hidden="1">
      <c r="A104" s="11"/>
      <c r="B104" s="11"/>
      <c r="C104" s="79">
        <f t="shared" si="83"/>
        <v>0</v>
      </c>
      <c r="D104" s="79"/>
      <c r="E104" s="79"/>
      <c r="F104" s="191" t="str">
        <f>IF(L$10=1,Z104,IF(V$10=1,AC104,IF(U$10=1,IF(J$14="бел. рублей",IF(H$22="Неустойка",W104,Y104),IF(H$22="Неустойка",V104,X104)))))</f>
        <v>2) Выдача наличных средств при овердрафтном кредите по карт-счету:</v>
      </c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83"/>
      <c r="V104" s="84" t="s">
        <v>50</v>
      </c>
      <c r="W104" s="84" t="s">
        <v>50</v>
      </c>
      <c r="X104" s="84" t="s">
        <v>50</v>
      </c>
      <c r="Y104" s="84" t="s">
        <v>50</v>
      </c>
      <c r="Z104" s="84" t="s">
        <v>51</v>
      </c>
      <c r="AA104" s="84"/>
      <c r="AB104" s="84"/>
      <c r="AC104" s="82" t="s">
        <v>52</v>
      </c>
      <c r="AD104" s="82" t="s">
        <v>52</v>
      </c>
      <c r="AE104" s="82"/>
      <c r="AF104" s="82"/>
      <c r="AG104" s="82"/>
      <c r="AH104" s="82"/>
      <c r="AI104" s="82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1"/>
      <c r="BV104" s="81"/>
      <c r="BW104" s="81"/>
      <c r="BX104" s="81"/>
      <c r="BY104" s="81"/>
    </row>
    <row r="105" spans="1:77" s="10" customFormat="1" ht="25.5" customHeight="1" hidden="1">
      <c r="A105" s="11"/>
      <c r="B105" s="11"/>
      <c r="C105" s="79">
        <f t="shared" si="83"/>
        <v>0</v>
      </c>
      <c r="D105" s="79"/>
      <c r="E105" s="79"/>
      <c r="F105" s="191" t="str">
        <f>IF(L$10=1,Z105,IF(V$10=1,IF(H$22="Неустойка",AD105,AC105),IF(U$10=1,IF(J$14="бел. рублей",IF(H$22="Неустойка",W105,Y105),IF(H$22="Неустойка",V105,X105)))))</f>
        <v>- в кассах и банкоматах Банка (в том числе Пунктов выдачи наличных): 2,5% от выданной суммы, но не менее 5000 бел.руб.;</v>
      </c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83"/>
      <c r="V105" s="84" t="s">
        <v>53</v>
      </c>
      <c r="W105" s="84" t="s">
        <v>53</v>
      </c>
      <c r="X105" s="84" t="s">
        <v>53</v>
      </c>
      <c r="Y105" s="84" t="s">
        <v>53</v>
      </c>
      <c r="Z105" s="85" t="s">
        <v>54</v>
      </c>
      <c r="AA105" s="85"/>
      <c r="AB105" s="85"/>
      <c r="AC105" s="84" t="s">
        <v>55</v>
      </c>
      <c r="AD105" s="84" t="s">
        <v>55</v>
      </c>
      <c r="AE105" s="84"/>
      <c r="AF105" s="84"/>
      <c r="AG105" s="84"/>
      <c r="AH105" s="84"/>
      <c r="AI105" s="84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1"/>
      <c r="BV105" s="81"/>
      <c r="BW105" s="81"/>
      <c r="BX105" s="81"/>
      <c r="BY105" s="81"/>
    </row>
    <row r="106" spans="1:77" s="10" customFormat="1" ht="25.5" customHeight="1" hidden="1">
      <c r="A106" s="11"/>
      <c r="B106" s="11"/>
      <c r="C106" s="79">
        <f t="shared" si="83"/>
        <v>0</v>
      </c>
      <c r="D106" s="79"/>
      <c r="E106" s="79"/>
      <c r="F106" s="191" t="str">
        <f>IF(L$10=1,Z106,IF(V$10=1,IF(H$22="Неустойка",AD106,AC106),IF(U$10=1,IF(J$14="бел. рублей",IF(H$22="Неустойка",W106,Y106),IF(H$22="Неустойка",V106,X106)))))</f>
        <v>- в кассах Банков и их филиалов (без учета дополнительных комиссий Банков) и  банкоматах Банков, подключенных к ОАО «БПЦ», на территории Республики Беларусь: 3,5% от выданной суммы, но не менее 5000 бел.руб.;</v>
      </c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83"/>
      <c r="V106" s="84" t="s">
        <v>56</v>
      </c>
      <c r="W106" s="84" t="s">
        <v>56</v>
      </c>
      <c r="X106" s="84" t="s">
        <v>56</v>
      </c>
      <c r="Y106" s="84" t="s">
        <v>56</v>
      </c>
      <c r="Z106" s="84" t="s">
        <v>57</v>
      </c>
      <c r="AA106" s="84"/>
      <c r="AB106" s="84"/>
      <c r="AC106" s="84" t="s">
        <v>58</v>
      </c>
      <c r="AD106" s="84" t="s">
        <v>59</v>
      </c>
      <c r="AE106" s="84"/>
      <c r="AF106" s="84"/>
      <c r="AG106" s="84"/>
      <c r="AH106" s="84"/>
      <c r="AI106" s="84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1"/>
      <c r="BV106" s="81"/>
      <c r="BW106" s="81"/>
      <c r="BX106" s="81"/>
      <c r="BY106" s="81"/>
    </row>
    <row r="107" spans="1:77" s="10" customFormat="1" ht="25.5" customHeight="1" hidden="1">
      <c r="A107" s="11"/>
      <c r="B107" s="11"/>
      <c r="C107" s="79">
        <f t="shared" si="83"/>
        <v>0</v>
      </c>
      <c r="D107" s="79"/>
      <c r="E107" s="79"/>
      <c r="F107" s="191" t="str">
        <f>IF(L$10=1,Z107,IF(V$10=1,IF(H$22="Неустойка",AD107,AC107),IF(U$10=1,IF(J$14="бел. рублей",IF(H$22="Неустойка",W107,Y107),IF(H$22="Неустойка",V107,X107)))))</f>
        <v>- в кассах Банков и их филиалов (без учета дополнительных комиссий Банков) и  банкоматах Банков, не подключенных к ОАО «БПЦ»: 3,5% от выданной суммы, но не менее 5000 бел.руб.;</v>
      </c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83"/>
      <c r="V107" s="84" t="s">
        <v>60</v>
      </c>
      <c r="W107" s="84" t="s">
        <v>60</v>
      </c>
      <c r="X107" s="84" t="s">
        <v>61</v>
      </c>
      <c r="Y107" s="84" t="s">
        <v>60</v>
      </c>
      <c r="Z107" s="84" t="s">
        <v>62</v>
      </c>
      <c r="AA107" s="84"/>
      <c r="AB107" s="84"/>
      <c r="AC107" s="84" t="s">
        <v>63</v>
      </c>
      <c r="AD107" s="84" t="s">
        <v>63</v>
      </c>
      <c r="AE107" s="84"/>
      <c r="AF107" s="84"/>
      <c r="AG107" s="84"/>
      <c r="AH107" s="84"/>
      <c r="AI107" s="84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1"/>
      <c r="BV107" s="81"/>
      <c r="BW107" s="81"/>
      <c r="BX107" s="81"/>
      <c r="BY107" s="81"/>
    </row>
    <row r="108" spans="1:77" s="10" customFormat="1" ht="25.5" customHeight="1" hidden="1">
      <c r="A108" s="11"/>
      <c r="B108" s="11"/>
      <c r="C108" s="79">
        <f t="shared" si="83"/>
        <v>0</v>
      </c>
      <c r="D108" s="79"/>
      <c r="E108" s="79"/>
      <c r="F108" s="191" t="str">
        <f>IF(L$10=1,Z108,IF(V$10=1,IF(H$22="Неустойка",AD108,AC108),IF(U$10=1,IF(J$14="бел. рублей",IF(H$22="Неустойка",W108,Y108),IF(H$22="Неустойка",V108,X108)))))</f>
        <v>- в кассах Банков и их филиалов (без учета дополнительных комиссий Банков) и  банкоматах Банков за пределами Республики Беларусь: 3,5% от выданной суммы, но не менее 15 000 бел.руб.</v>
      </c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83"/>
      <c r="V108" s="84" t="s">
        <v>64</v>
      </c>
      <c r="W108" s="84" t="s">
        <v>65</v>
      </c>
      <c r="X108" s="84" t="s">
        <v>64</v>
      </c>
      <c r="Y108" s="84" t="s">
        <v>65</v>
      </c>
      <c r="Z108" s="84" t="s">
        <v>66</v>
      </c>
      <c r="AA108" s="84"/>
      <c r="AB108" s="84"/>
      <c r="AC108" s="82" t="s">
        <v>67</v>
      </c>
      <c r="AD108" s="82" t="s">
        <v>68</v>
      </c>
      <c r="AE108" s="82"/>
      <c r="AF108" s="82"/>
      <c r="AG108" s="82"/>
      <c r="AH108" s="82"/>
      <c r="AI108" s="82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1"/>
      <c r="BV108" s="81"/>
      <c r="BW108" s="81"/>
      <c r="BX108" s="81"/>
      <c r="BY108" s="81"/>
    </row>
    <row r="109" spans="1:77" s="10" customFormat="1" ht="25.5" customHeight="1" hidden="1">
      <c r="A109" s="11"/>
      <c r="B109" s="11"/>
      <c r="C109" s="79">
        <f t="shared" si="83"/>
        <v>0</v>
      </c>
      <c r="D109" s="79"/>
      <c r="E109" s="79"/>
      <c r="F109" s="191" t="str">
        <f>IF(L$10=1,Z109,IF(V$10=1,IF(H$22="Неустойка",AD109,AC109),IF(U$10=1,IF(J$14="бел. рублей",IF(H$22="Неустойка",W109,Y109),IF(H$22="Неустойка",V109,X109)))))</f>
        <v>3) Пополнение карт-счета бесплатно, кроме случаев:</v>
      </c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83"/>
      <c r="V109" s="84" t="s">
        <v>69</v>
      </c>
      <c r="W109" s="84" t="s">
        <v>69</v>
      </c>
      <c r="X109" s="84" t="s">
        <v>69</v>
      </c>
      <c r="Y109" s="84" t="s">
        <v>69</v>
      </c>
      <c r="Z109" s="84" t="s">
        <v>70</v>
      </c>
      <c r="AA109" s="84"/>
      <c r="AB109" s="84"/>
      <c r="AC109" s="84" t="s">
        <v>37</v>
      </c>
      <c r="AD109" s="82" t="s">
        <v>67</v>
      </c>
      <c r="AE109" s="82"/>
      <c r="AF109" s="82"/>
      <c r="AG109" s="82"/>
      <c r="AH109" s="82"/>
      <c r="AI109" s="82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1"/>
      <c r="BV109" s="81"/>
      <c r="BW109" s="81"/>
      <c r="BX109" s="81"/>
      <c r="BY109" s="81"/>
    </row>
    <row r="110" spans="1:77" s="10" customFormat="1" ht="25.5" customHeight="1" hidden="1">
      <c r="A110" s="11"/>
      <c r="B110" s="11"/>
      <c r="C110" s="79"/>
      <c r="D110" s="79"/>
      <c r="E110" s="79"/>
      <c r="F110" s="191" t="str">
        <f aca="true" t="shared" si="84" ref="F110:F126">IF(L$10=1,Z110,IF(V$10=1,AC110,IF(U$10=1,IF(J$14="бел. рублей",IF(H$22="Неустойка",W110,Y110),IF(H$22="Неустойка",V110,X110)))))</f>
        <v>- банковских переводов со счетов, открытых в ЗАО «Тастбанк: 0,7% от зачисляемой суммы.</v>
      </c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83"/>
      <c r="V110" s="84" t="s">
        <v>71</v>
      </c>
      <c r="W110" s="84" t="s">
        <v>71</v>
      </c>
      <c r="X110" s="84" t="s">
        <v>71</v>
      </c>
      <c r="Y110" s="84" t="s">
        <v>71</v>
      </c>
      <c r="Z110" s="84" t="s">
        <v>71</v>
      </c>
      <c r="AA110" s="86"/>
      <c r="AB110" s="86"/>
      <c r="AC110" s="84"/>
      <c r="AD110" s="82"/>
      <c r="AE110" s="82"/>
      <c r="AF110" s="82"/>
      <c r="AG110" s="82"/>
      <c r="AH110" s="82"/>
      <c r="AI110" s="82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1"/>
      <c r="BV110" s="81"/>
      <c r="BW110" s="81"/>
      <c r="BX110" s="81"/>
      <c r="BY110" s="81"/>
    </row>
    <row r="111" spans="1:77" s="10" customFormat="1" ht="25.5" customHeight="1" hidden="1">
      <c r="A111" s="11"/>
      <c r="B111" s="11"/>
      <c r="C111" s="79">
        <f aca="true" t="shared" si="85" ref="C111:C126">IF(LEFT(F111,1)="I",1,0)</f>
        <v>0</v>
      </c>
      <c r="D111" s="79"/>
      <c r="E111" s="79"/>
      <c r="F111" s="191" t="str">
        <f t="shared" si="84"/>
        <v>- банковских переводов со счетов, открытых в других Банках (в том числе их филиалов), банковских переводов без открытия счета путем внесения средств в кассу иных банков (в том числе их филиалов): 0,9% от зачисляемой суммы.</v>
      </c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83"/>
      <c r="V111" s="84" t="s">
        <v>72</v>
      </c>
      <c r="W111" s="84" t="s">
        <v>72</v>
      </c>
      <c r="X111" s="84" t="s">
        <v>72</v>
      </c>
      <c r="Y111" s="84" t="s">
        <v>72</v>
      </c>
      <c r="Z111" s="84" t="s">
        <v>73</v>
      </c>
      <c r="AA111" s="84"/>
      <c r="AB111" s="84"/>
      <c r="AC111" s="84" t="s">
        <v>37</v>
      </c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1"/>
      <c r="BV111" s="81"/>
      <c r="BW111" s="81"/>
      <c r="BX111" s="81"/>
      <c r="BY111" s="81"/>
    </row>
    <row r="112" spans="1:77" s="10" customFormat="1" ht="25.5" customHeight="1" hidden="1">
      <c r="A112" s="11"/>
      <c r="B112" s="11"/>
      <c r="C112" s="79">
        <f t="shared" si="85"/>
        <v>0</v>
      </c>
      <c r="D112" s="79"/>
      <c r="E112" s="79"/>
      <c r="F112" s="191" t="str">
        <f t="shared" si="84"/>
        <v>- перевода на карт-счет в рамках системы "Расчет": 2% от зачисляемой суммы.</v>
      </c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83"/>
      <c r="V112" s="84" t="s">
        <v>57</v>
      </c>
      <c r="W112" s="84" t="s">
        <v>57</v>
      </c>
      <c r="X112" s="84" t="s">
        <v>57</v>
      </c>
      <c r="Y112" s="84" t="s">
        <v>57</v>
      </c>
      <c r="Z112" s="84" t="s">
        <v>74</v>
      </c>
      <c r="AA112" s="84"/>
      <c r="AB112" s="84"/>
      <c r="AC112" s="84" t="s">
        <v>37</v>
      </c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1"/>
      <c r="BV112" s="81"/>
      <c r="BW112" s="81"/>
      <c r="BX112" s="81"/>
      <c r="BY112" s="81"/>
    </row>
    <row r="113" spans="1:77" s="10" customFormat="1" ht="25.5" customHeight="1" hidden="1">
      <c r="A113" s="11"/>
      <c r="B113" s="11"/>
      <c r="C113" s="79">
        <f t="shared" si="85"/>
        <v>0</v>
      </c>
      <c r="D113" s="79"/>
      <c r="E113" s="79"/>
      <c r="F113" s="191" t="str">
        <f t="shared" si="84"/>
        <v>4) Просмотр доступного остатка денежных средств по карт-счету:</v>
      </c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83"/>
      <c r="V113" s="84" t="s">
        <v>75</v>
      </c>
      <c r="W113" s="84" t="s">
        <v>75</v>
      </c>
      <c r="X113" s="84" t="s">
        <v>75</v>
      </c>
      <c r="Y113" s="84" t="s">
        <v>75</v>
      </c>
      <c r="Z113" s="82" t="s">
        <v>52</v>
      </c>
      <c r="AA113" s="82"/>
      <c r="AB113" s="82"/>
      <c r="AC113" s="84" t="s">
        <v>37</v>
      </c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1"/>
      <c r="BV113" s="81"/>
      <c r="BW113" s="81"/>
      <c r="BX113" s="81"/>
      <c r="BY113" s="81"/>
    </row>
    <row r="114" spans="1:77" s="10" customFormat="1" ht="25.5" customHeight="1" hidden="1">
      <c r="A114" s="11"/>
      <c r="B114" s="11"/>
      <c r="C114" s="79">
        <f t="shared" si="85"/>
        <v>0</v>
      </c>
      <c r="D114" s="79"/>
      <c r="E114" s="79"/>
      <c r="F114" s="191" t="str">
        <f t="shared" si="84"/>
        <v>- в устройствах Банка: бесплатно;</v>
      </c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83"/>
      <c r="V114" s="84" t="s">
        <v>66</v>
      </c>
      <c r="W114" s="84" t="s">
        <v>66</v>
      </c>
      <c r="X114" s="84" t="s">
        <v>66</v>
      </c>
      <c r="Y114" s="84" t="s">
        <v>66</v>
      </c>
      <c r="Z114" s="84" t="s">
        <v>55</v>
      </c>
      <c r="AA114" s="84"/>
      <c r="AB114" s="84"/>
      <c r="AC114" s="84" t="s">
        <v>37</v>
      </c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1"/>
      <c r="BV114" s="81"/>
      <c r="BW114" s="81"/>
      <c r="BX114" s="81"/>
      <c r="BY114" s="81"/>
    </row>
    <row r="115" spans="1:77" s="10" customFormat="1" ht="25.5" customHeight="1" hidden="1">
      <c r="A115" s="11"/>
      <c r="B115" s="11"/>
      <c r="C115" s="79">
        <f t="shared" si="85"/>
        <v>0</v>
      </c>
      <c r="D115" s="79"/>
      <c r="E115" s="79"/>
      <c r="F115" s="191" t="str">
        <f t="shared" si="84"/>
        <v>- в устройствах Банков, подключенных к ОАО «БПЦ», на территории Республики Беларусь: 600 белорусских рублей;</v>
      </c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83"/>
      <c r="V115" s="84" t="s">
        <v>76</v>
      </c>
      <c r="W115" s="84" t="s">
        <v>70</v>
      </c>
      <c r="X115" s="84" t="s">
        <v>76</v>
      </c>
      <c r="Y115" s="84" t="s">
        <v>70</v>
      </c>
      <c r="Z115" s="84" t="s">
        <v>77</v>
      </c>
      <c r="AA115" s="84"/>
      <c r="AB115" s="84"/>
      <c r="AC115" s="83" t="s">
        <v>37</v>
      </c>
      <c r="AD115" s="82" t="s">
        <v>52</v>
      </c>
      <c r="AE115" s="82"/>
      <c r="AF115" s="82"/>
      <c r="AG115" s="82"/>
      <c r="AH115" s="82"/>
      <c r="AI115" s="82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1"/>
      <c r="BV115" s="81"/>
      <c r="BW115" s="81"/>
      <c r="BX115" s="81"/>
      <c r="BY115" s="81"/>
    </row>
    <row r="116" spans="1:77" s="10" customFormat="1" ht="25.5" customHeight="1" hidden="1">
      <c r="A116" s="11"/>
      <c r="B116" s="11"/>
      <c r="C116" s="79">
        <f t="shared" si="85"/>
        <v>0</v>
      </c>
      <c r="D116" s="79"/>
      <c r="E116" s="79"/>
      <c r="F116" s="191" t="str">
        <f t="shared" si="84"/>
        <v>- в устройствах Банков, не подключенных к ОАО «БПЦ»: 1 500 белорусских рублей;</v>
      </c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83"/>
      <c r="V116" s="84" t="s">
        <v>78</v>
      </c>
      <c r="W116" s="84" t="s">
        <v>73</v>
      </c>
      <c r="X116" s="84" t="s">
        <v>78</v>
      </c>
      <c r="Y116" s="84" t="s">
        <v>73</v>
      </c>
      <c r="Z116" s="84" t="s">
        <v>63</v>
      </c>
      <c r="AA116" s="84"/>
      <c r="AB116" s="84"/>
      <c r="AC116" s="83" t="s">
        <v>37</v>
      </c>
      <c r="AD116" s="84" t="s">
        <v>55</v>
      </c>
      <c r="AE116" s="84"/>
      <c r="AF116" s="84"/>
      <c r="AG116" s="84"/>
      <c r="AH116" s="84"/>
      <c r="AI116" s="84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1"/>
      <c r="BV116" s="81"/>
      <c r="BW116" s="81"/>
      <c r="BX116" s="81"/>
      <c r="BY116" s="81"/>
    </row>
    <row r="117" spans="1:77" s="10" customFormat="1" ht="25.5" customHeight="1" hidden="1">
      <c r="A117" s="11"/>
      <c r="B117" s="11"/>
      <c r="C117" s="79">
        <f t="shared" si="85"/>
        <v>0</v>
      </c>
      <c r="D117" s="79"/>
      <c r="E117" s="79"/>
      <c r="F117" s="191" t="str">
        <f t="shared" si="84"/>
        <v>- в устройствах Банков за пределами Республики Беларусь: 5 000 белорусских рублей.</v>
      </c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83"/>
      <c r="V117" s="84" t="s">
        <v>79</v>
      </c>
      <c r="W117" s="84" t="s">
        <v>74</v>
      </c>
      <c r="X117" s="84" t="s">
        <v>79</v>
      </c>
      <c r="Y117" s="84" t="s">
        <v>74</v>
      </c>
      <c r="Z117" s="82" t="s">
        <v>67</v>
      </c>
      <c r="AA117" s="82"/>
      <c r="AB117" s="82"/>
      <c r="AC117" s="83" t="s">
        <v>37</v>
      </c>
      <c r="AD117" s="84" t="s">
        <v>58</v>
      </c>
      <c r="AE117" s="84"/>
      <c r="AF117" s="84"/>
      <c r="AG117" s="84"/>
      <c r="AH117" s="84"/>
      <c r="AI117" s="84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1"/>
      <c r="BV117" s="81"/>
      <c r="BW117" s="81"/>
      <c r="BX117" s="81"/>
      <c r="BY117" s="81"/>
    </row>
    <row r="118" spans="1:77" s="10" customFormat="1" ht="25.5" customHeight="1" hidden="1">
      <c r="A118" s="11"/>
      <c r="B118" s="11"/>
      <c r="C118" s="79">
        <f t="shared" si="85"/>
        <v>0</v>
      </c>
      <c r="D118" s="79"/>
      <c r="E118" s="79"/>
      <c r="F118" s="191" t="str">
        <f t="shared" si="84"/>
        <v>5) Блокировка и внесение карточки в локальный стоп-лист: 10 000 белорусских рублей.</v>
      </c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83"/>
      <c r="V118" s="84" t="s">
        <v>80</v>
      </c>
      <c r="W118" s="84" t="s">
        <v>81</v>
      </c>
      <c r="X118" s="84" t="s">
        <v>80</v>
      </c>
      <c r="Y118" s="84" t="s">
        <v>81</v>
      </c>
      <c r="Z118" s="83" t="s">
        <v>37</v>
      </c>
      <c r="AA118" s="83"/>
      <c r="AB118" s="83"/>
      <c r="AC118" s="83" t="s">
        <v>37</v>
      </c>
      <c r="AD118" s="84" t="s">
        <v>82</v>
      </c>
      <c r="AE118" s="84"/>
      <c r="AF118" s="84"/>
      <c r="AG118" s="84"/>
      <c r="AH118" s="84"/>
      <c r="AI118" s="84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1"/>
      <c r="BV118" s="81"/>
      <c r="BW118" s="81"/>
      <c r="BX118" s="81"/>
      <c r="BY118" s="81"/>
    </row>
    <row r="119" spans="1:77" s="10" customFormat="1" ht="25.5" customHeight="1" hidden="1">
      <c r="A119" s="11"/>
      <c r="B119" s="11"/>
      <c r="C119" s="79">
        <f t="shared" si="85"/>
        <v>0</v>
      </c>
      <c r="D119" s="79"/>
      <c r="E119" s="79"/>
      <c r="F119" s="191" t="str">
        <f t="shared" si="84"/>
        <v>6) Замена персонального идентификационного номера в связи его с утерей (взимается независимо от обстоятельств утери): 20 000 белорусских рублей.</v>
      </c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83"/>
      <c r="V119" s="84" t="s">
        <v>83</v>
      </c>
      <c r="W119" s="84" t="s">
        <v>84</v>
      </c>
      <c r="X119" s="84" t="s">
        <v>83</v>
      </c>
      <c r="Y119" s="84" t="s">
        <v>84</v>
      </c>
      <c r="Z119" s="84" t="s">
        <v>37</v>
      </c>
      <c r="AA119" s="84"/>
      <c r="AB119" s="84"/>
      <c r="AC119" s="84" t="s">
        <v>37</v>
      </c>
      <c r="AD119" s="84" t="s">
        <v>85</v>
      </c>
      <c r="AE119" s="84"/>
      <c r="AF119" s="84"/>
      <c r="AG119" s="84"/>
      <c r="AH119" s="84"/>
      <c r="AI119" s="84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1"/>
      <c r="BV119" s="81"/>
      <c r="BW119" s="81"/>
      <c r="BX119" s="81"/>
      <c r="BY119" s="81"/>
    </row>
    <row r="120" spans="1:77" s="10" customFormat="1" ht="25.5" customHeight="1" hidden="1">
      <c r="A120" s="11"/>
      <c r="B120" s="11"/>
      <c r="C120" s="79">
        <f t="shared" si="85"/>
        <v>0</v>
      </c>
      <c r="D120" s="79"/>
      <c r="E120" s="79"/>
      <c r="F120" s="191" t="str">
        <f t="shared" si="84"/>
        <v>7) Предоставление дополнительной выписки по счету: 3 100 белорусских рублей.</v>
      </c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83"/>
      <c r="V120" s="84" t="s">
        <v>86</v>
      </c>
      <c r="W120" s="84" t="s">
        <v>87</v>
      </c>
      <c r="X120" s="84" t="s">
        <v>86</v>
      </c>
      <c r="Y120" s="84" t="s">
        <v>87</v>
      </c>
      <c r="Z120" s="82" t="s">
        <v>37</v>
      </c>
      <c r="AA120" s="82"/>
      <c r="AB120" s="82"/>
      <c r="AC120" s="82" t="s">
        <v>37</v>
      </c>
      <c r="AD120" s="83" t="s">
        <v>37</v>
      </c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1"/>
      <c r="BV120" s="81"/>
      <c r="BW120" s="81"/>
      <c r="BX120" s="81"/>
      <c r="BY120" s="81"/>
    </row>
    <row r="121" spans="1:77" s="10" customFormat="1" ht="25.5" customHeight="1" hidden="1">
      <c r="A121" s="11"/>
      <c r="B121" s="11"/>
      <c r="C121" s="79">
        <f t="shared" si="85"/>
        <v>1</v>
      </c>
      <c r="D121" s="79"/>
      <c r="E121" s="79"/>
      <c r="F121" s="191" t="str">
        <f t="shared" si="84"/>
        <v>II. Ответственность Кредитополучателя за несоблюдение условий кредитного договора:</v>
      </c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83"/>
      <c r="V121" s="82" t="s">
        <v>52</v>
      </c>
      <c r="W121" s="82" t="s">
        <v>52</v>
      </c>
      <c r="X121" s="82" t="s">
        <v>52</v>
      </c>
      <c r="Y121" s="82" t="s">
        <v>52</v>
      </c>
      <c r="Z121" s="82" t="s">
        <v>37</v>
      </c>
      <c r="AA121" s="82"/>
      <c r="AB121" s="82"/>
      <c r="AC121" s="82" t="s">
        <v>37</v>
      </c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1"/>
      <c r="BV121" s="81"/>
      <c r="BW121" s="81"/>
      <c r="BX121" s="81"/>
      <c r="BY121" s="81"/>
    </row>
    <row r="122" spans="1:77" s="10" customFormat="1" ht="25.5" customHeight="1" hidden="1">
      <c r="A122" s="11"/>
      <c r="B122" s="11"/>
      <c r="C122" s="79">
        <f t="shared" si="85"/>
        <v>0</v>
      </c>
      <c r="D122" s="79"/>
      <c r="E122" s="79"/>
      <c r="F122" s="191" t="str">
        <f t="shared" si="84"/>
        <v>1) Кредитополучатель уплачивает Банку повышенные проценты по просроченной задолженности по кредиту в размере процентной ставки за пользование кредитом, увеличенной на 30 процентных пунктов.</v>
      </c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83"/>
      <c r="V122" s="84" t="s">
        <v>55</v>
      </c>
      <c r="W122" s="84" t="s">
        <v>55</v>
      </c>
      <c r="X122" s="84" t="s">
        <v>55</v>
      </c>
      <c r="Y122" s="84" t="s">
        <v>55</v>
      </c>
      <c r="Z122" s="82" t="s">
        <v>37</v>
      </c>
      <c r="AA122" s="82"/>
      <c r="AB122" s="82"/>
      <c r="AC122" s="82" t="s">
        <v>37</v>
      </c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1"/>
      <c r="BV122" s="81"/>
      <c r="BW122" s="81"/>
      <c r="BX122" s="81"/>
      <c r="BY122" s="81"/>
    </row>
    <row r="123" spans="1:77" s="10" customFormat="1" ht="25.5" customHeight="1" hidden="1">
      <c r="A123" s="11"/>
      <c r="B123" s="11"/>
      <c r="C123" s="79">
        <f t="shared" si="85"/>
        <v>0</v>
      </c>
      <c r="D123" s="79"/>
      <c r="E123" s="79"/>
      <c r="F123" s="191" t="str">
        <f t="shared" si="84"/>
        <v>2)  В случае возникновения просроченной задолженности по основному долгу, помимо повышенных процентов, Кредитополучатель уплачивает неустойку в размере 0,3% от суммы просроченной задолженности по основному долгу за каждый день просрочки. </v>
      </c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83"/>
      <c r="V123" s="84" t="s">
        <v>88</v>
      </c>
      <c r="W123" s="84" t="s">
        <v>88</v>
      </c>
      <c r="X123" s="84" t="s">
        <v>89</v>
      </c>
      <c r="Y123" s="84" t="s">
        <v>89</v>
      </c>
      <c r="Z123" s="82" t="s">
        <v>37</v>
      </c>
      <c r="AA123" s="82"/>
      <c r="AB123" s="82"/>
      <c r="AC123" s="82" t="s">
        <v>37</v>
      </c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1"/>
      <c r="BV123" s="81"/>
      <c r="BW123" s="81"/>
      <c r="BX123" s="81"/>
      <c r="BY123" s="81"/>
    </row>
    <row r="124" spans="1:77" s="10" customFormat="1" ht="25.5" customHeight="1" hidden="1">
      <c r="A124" s="11"/>
      <c r="B124" s="11"/>
      <c r="C124" s="79">
        <f t="shared" si="85"/>
        <v>0</v>
      </c>
      <c r="D124" s="79"/>
      <c r="E124" s="79"/>
      <c r="F124" s="191" t="str">
        <f t="shared" si="84"/>
        <v>3) В случае неисполнения обязательств по уплате процентов и комиссии,  Кредитополучатель уплачивает Банку пеню в размере 0,2% от суммы просроченной задолженности за каждый день просрочки.</v>
      </c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83"/>
      <c r="V124" s="84" t="s">
        <v>90</v>
      </c>
      <c r="W124" s="84" t="s">
        <v>90</v>
      </c>
      <c r="X124" s="84" t="s">
        <v>63</v>
      </c>
      <c r="Y124" s="84" t="s">
        <v>63</v>
      </c>
      <c r="Z124" s="82" t="s">
        <v>37</v>
      </c>
      <c r="AA124" s="82"/>
      <c r="AB124" s="82"/>
      <c r="AC124" s="82" t="s">
        <v>37</v>
      </c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1"/>
      <c r="BV124" s="81"/>
      <c r="BW124" s="81"/>
      <c r="BX124" s="81"/>
      <c r="BY124" s="81"/>
    </row>
    <row r="125" spans="1:77" s="10" customFormat="1" ht="25.5" customHeight="1" hidden="1">
      <c r="A125" s="11"/>
      <c r="B125" s="11"/>
      <c r="C125" s="79">
        <f t="shared" si="85"/>
        <v>0</v>
      </c>
      <c r="D125" s="79"/>
      <c r="E125" s="79"/>
      <c r="F125" s="191" t="str">
        <f t="shared" si="84"/>
        <v>4) В случае несвоевременного уведомления Банка об изменении паспортных данных, адреса проживания и номера телефона, указанных в заявлении-анкет, Кредитополучатель уплачивает штраф в размере  1 базовой величины.</v>
      </c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83"/>
      <c r="V125" s="84" t="s">
        <v>85</v>
      </c>
      <c r="W125" s="84" t="s">
        <v>91</v>
      </c>
      <c r="X125" s="82" t="s">
        <v>67</v>
      </c>
      <c r="Y125" s="82" t="s">
        <v>67</v>
      </c>
      <c r="Z125" s="82" t="s">
        <v>37</v>
      </c>
      <c r="AA125" s="82"/>
      <c r="AB125" s="82"/>
      <c r="AC125" s="82" t="s">
        <v>37</v>
      </c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1"/>
      <c r="BV125" s="81"/>
      <c r="BW125" s="81"/>
      <c r="BX125" s="81"/>
      <c r="BY125" s="81"/>
    </row>
    <row r="126" spans="1:77" s="10" customFormat="1" ht="25.5" customHeight="1" hidden="1">
      <c r="A126" s="11"/>
      <c r="B126" s="11"/>
      <c r="C126" s="79">
        <f t="shared" si="85"/>
        <v>1</v>
      </c>
      <c r="D126" s="79"/>
      <c r="E126" s="79"/>
      <c r="F126" s="191" t="str">
        <f t="shared" si="84"/>
        <v>III. Кредитополучателю предоставляется право на досрочное погашение задолженности по кредиту без взимания штрафов и дополнительных комиссий.</v>
      </c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83"/>
      <c r="V126" s="82" t="s">
        <v>67</v>
      </c>
      <c r="W126" s="82" t="s">
        <v>67</v>
      </c>
      <c r="X126" s="82" t="s">
        <v>37</v>
      </c>
      <c r="Y126" s="82" t="s">
        <v>37</v>
      </c>
      <c r="Z126" s="82" t="s">
        <v>37</v>
      </c>
      <c r="AA126" s="82"/>
      <c r="AB126" s="82"/>
      <c r="AC126" s="82" t="s">
        <v>37</v>
      </c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1"/>
      <c r="BV126" s="81"/>
      <c r="BW126" s="81"/>
      <c r="BX126" s="81"/>
      <c r="BY126" s="81"/>
    </row>
    <row r="127" spans="1:77" s="10" customFormat="1" ht="36.75" customHeight="1" hidden="1">
      <c r="A127" s="11"/>
      <c r="B127" s="11"/>
      <c r="C127" s="79"/>
      <c r="D127" s="79"/>
      <c r="E127" s="79"/>
      <c r="F127" s="176" t="s">
        <v>123</v>
      </c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83"/>
      <c r="V127" s="82"/>
      <c r="W127" s="82"/>
      <c r="X127" s="82"/>
      <c r="Y127" s="82"/>
      <c r="Z127" s="82"/>
      <c r="AA127" s="82"/>
      <c r="AB127" s="82"/>
      <c r="AC127" s="82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1"/>
      <c r="BV127" s="81"/>
      <c r="BW127" s="81"/>
      <c r="BX127" s="81"/>
      <c r="BY127" s="81"/>
    </row>
    <row r="128" spans="1:77" s="10" customFormat="1" ht="21.75" customHeight="1" hidden="1">
      <c r="A128" s="11"/>
      <c r="B128" s="11"/>
      <c r="C128" s="79"/>
      <c r="D128" s="79"/>
      <c r="E128" s="79"/>
      <c r="F128" s="176" t="s">
        <v>124</v>
      </c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83"/>
      <c r="V128" s="82"/>
      <c r="W128" s="82"/>
      <c r="X128" s="82"/>
      <c r="Y128" s="82"/>
      <c r="Z128" s="82"/>
      <c r="AA128" s="82"/>
      <c r="AB128" s="82"/>
      <c r="AC128" s="82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1"/>
      <c r="BV128" s="81"/>
      <c r="BW128" s="81"/>
      <c r="BX128" s="81"/>
      <c r="BY128" s="81"/>
    </row>
    <row r="129" spans="1:77" s="10" customFormat="1" ht="36.75" customHeight="1" hidden="1">
      <c r="A129" s="11"/>
      <c r="B129" s="11"/>
      <c r="C129" s="79"/>
      <c r="D129" s="79"/>
      <c r="E129" s="79"/>
      <c r="F129" s="176" t="s">
        <v>92</v>
      </c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83"/>
      <c r="V129" s="82"/>
      <c r="W129" s="82"/>
      <c r="X129" s="82"/>
      <c r="Y129" s="82"/>
      <c r="Z129" s="82"/>
      <c r="AA129" s="82"/>
      <c r="AB129" s="82"/>
      <c r="AC129" s="82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1"/>
      <c r="BV129" s="81"/>
      <c r="BW129" s="81"/>
      <c r="BX129" s="81"/>
      <c r="BY129" s="81"/>
    </row>
    <row r="130" spans="1:77" s="10" customFormat="1" ht="52.5" customHeight="1" hidden="1">
      <c r="A130" s="11"/>
      <c r="B130" s="11"/>
      <c r="C130" s="79"/>
      <c r="D130" s="79"/>
      <c r="E130" s="79"/>
      <c r="F130" s="176" t="s">
        <v>125</v>
      </c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83"/>
      <c r="V130" s="82"/>
      <c r="W130" s="82"/>
      <c r="X130" s="82"/>
      <c r="Y130" s="82"/>
      <c r="Z130" s="82"/>
      <c r="AA130" s="82"/>
      <c r="AB130" s="82"/>
      <c r="AC130" s="82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1"/>
      <c r="BV130" s="81"/>
      <c r="BW130" s="81"/>
      <c r="BX130" s="81"/>
      <c r="BY130" s="81"/>
    </row>
    <row r="131" spans="1:77" s="10" customFormat="1" ht="27" customHeight="1" hidden="1">
      <c r="A131" s="11"/>
      <c r="B131" s="11"/>
      <c r="C131" s="79"/>
      <c r="D131" s="79"/>
      <c r="E131" s="79"/>
      <c r="F131" s="177" t="s">
        <v>93</v>
      </c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83"/>
      <c r="V131" s="82"/>
      <c r="W131" s="82"/>
      <c r="X131" s="82"/>
      <c r="Y131" s="82"/>
      <c r="Z131" s="82"/>
      <c r="AA131" s="82"/>
      <c r="AB131" s="82"/>
      <c r="AC131" s="82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1"/>
      <c r="BV131" s="81"/>
      <c r="BW131" s="81"/>
      <c r="BX131" s="81"/>
      <c r="BY131" s="81"/>
    </row>
    <row r="132" spans="1:77" s="10" customFormat="1" ht="39" customHeight="1" hidden="1">
      <c r="A132" s="11"/>
      <c r="B132" s="11"/>
      <c r="C132" s="79"/>
      <c r="D132" s="79"/>
      <c r="E132" s="79"/>
      <c r="F132" s="176" t="s">
        <v>94</v>
      </c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83"/>
      <c r="V132" s="82"/>
      <c r="W132" s="82"/>
      <c r="X132" s="82"/>
      <c r="Y132" s="82"/>
      <c r="Z132" s="82"/>
      <c r="AA132" s="82"/>
      <c r="AB132" s="82"/>
      <c r="AC132" s="82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1"/>
      <c r="BV132" s="81"/>
      <c r="BW132" s="81"/>
      <c r="BX132" s="81"/>
      <c r="BY132" s="81"/>
    </row>
    <row r="133" spans="1:77" s="10" customFormat="1" ht="51.75" customHeight="1" hidden="1">
      <c r="A133" s="11"/>
      <c r="B133" s="11"/>
      <c r="C133" s="79"/>
      <c r="D133" s="79"/>
      <c r="E133" s="79"/>
      <c r="F133" s="176" t="s">
        <v>95</v>
      </c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83"/>
      <c r="V133" s="82"/>
      <c r="W133" s="82"/>
      <c r="X133" s="82"/>
      <c r="Y133" s="82"/>
      <c r="Z133" s="82"/>
      <c r="AA133" s="82"/>
      <c r="AB133" s="82"/>
      <c r="AC133" s="82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1"/>
      <c r="BV133" s="81"/>
      <c r="BW133" s="81"/>
      <c r="BX133" s="81"/>
      <c r="BY133" s="81"/>
    </row>
    <row r="134" spans="1:77" s="10" customFormat="1" ht="37.5" customHeight="1" hidden="1">
      <c r="A134" s="11"/>
      <c r="B134" s="11"/>
      <c r="C134" s="79"/>
      <c r="D134" s="79"/>
      <c r="E134" s="79"/>
      <c r="F134" s="176" t="s">
        <v>96</v>
      </c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83"/>
      <c r="V134" s="82"/>
      <c r="W134" s="82"/>
      <c r="X134" s="82"/>
      <c r="Y134" s="82"/>
      <c r="Z134" s="82"/>
      <c r="AA134" s="82"/>
      <c r="AB134" s="82"/>
      <c r="AC134" s="82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1"/>
      <c r="BV134" s="81"/>
      <c r="BW134" s="81"/>
      <c r="BX134" s="81"/>
      <c r="BY134" s="81"/>
    </row>
    <row r="135" spans="1:77" s="10" customFormat="1" ht="38.25" customHeight="1" hidden="1">
      <c r="A135" s="11"/>
      <c r="B135" s="11"/>
      <c r="C135" s="79"/>
      <c r="D135" s="79"/>
      <c r="E135" s="79"/>
      <c r="F135" s="176" t="s">
        <v>97</v>
      </c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83"/>
      <c r="V135" s="82"/>
      <c r="W135" s="82"/>
      <c r="X135" s="82"/>
      <c r="Y135" s="82"/>
      <c r="Z135" s="82"/>
      <c r="AA135" s="82"/>
      <c r="AB135" s="82"/>
      <c r="AC135" s="82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1"/>
      <c r="BV135" s="81"/>
      <c r="BW135" s="81"/>
      <c r="BX135" s="81"/>
      <c r="BY135" s="81"/>
    </row>
    <row r="136" spans="1:77" s="10" customFormat="1" ht="23.25" customHeight="1" hidden="1">
      <c r="A136" s="11"/>
      <c r="B136" s="11"/>
      <c r="C136" s="79"/>
      <c r="D136" s="79"/>
      <c r="E136" s="79"/>
      <c r="F136" s="177" t="s">
        <v>98</v>
      </c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83"/>
      <c r="V136" s="82"/>
      <c r="W136" s="82"/>
      <c r="X136" s="82"/>
      <c r="Y136" s="82"/>
      <c r="Z136" s="82"/>
      <c r="AA136" s="82"/>
      <c r="AB136" s="82"/>
      <c r="AC136" s="82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1"/>
      <c r="BV136" s="81"/>
      <c r="BW136" s="81"/>
      <c r="BX136" s="81"/>
      <c r="BY136" s="81"/>
    </row>
    <row r="137" spans="1:77" s="10" customFormat="1" ht="38.25" customHeight="1" hidden="1">
      <c r="A137" s="11"/>
      <c r="B137" s="11"/>
      <c r="C137" s="79"/>
      <c r="D137" s="79"/>
      <c r="E137" s="79"/>
      <c r="F137" s="176" t="s">
        <v>99</v>
      </c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83"/>
      <c r="V137" s="82"/>
      <c r="W137" s="82"/>
      <c r="X137" s="82"/>
      <c r="Y137" s="82"/>
      <c r="Z137" s="82"/>
      <c r="AA137" s="82"/>
      <c r="AB137" s="82"/>
      <c r="AC137" s="82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1"/>
      <c r="BV137" s="81"/>
      <c r="BW137" s="81"/>
      <c r="BX137" s="81"/>
      <c r="BY137" s="81"/>
    </row>
    <row r="138" spans="1:77" s="10" customFormat="1" ht="38.25" customHeight="1" hidden="1">
      <c r="A138" s="11"/>
      <c r="B138" s="11"/>
      <c r="C138" s="79"/>
      <c r="D138" s="79"/>
      <c r="E138" s="79"/>
      <c r="F138" s="177" t="s">
        <v>100</v>
      </c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83"/>
      <c r="V138" s="82"/>
      <c r="W138" s="82"/>
      <c r="X138" s="82"/>
      <c r="Y138" s="82"/>
      <c r="Z138" s="82"/>
      <c r="AA138" s="82"/>
      <c r="AB138" s="82"/>
      <c r="AC138" s="82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1"/>
      <c r="BV138" s="81"/>
      <c r="BW138" s="81"/>
      <c r="BX138" s="81"/>
      <c r="BY138" s="81"/>
    </row>
    <row r="139" spans="1:77" s="10" customFormat="1" ht="23.25" customHeight="1" hidden="1">
      <c r="A139" s="11"/>
      <c r="B139" s="11"/>
      <c r="C139" s="79"/>
      <c r="D139" s="79"/>
      <c r="E139" s="79"/>
      <c r="F139" s="179" t="s">
        <v>126</v>
      </c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83"/>
      <c r="V139" s="82"/>
      <c r="W139" s="82"/>
      <c r="X139" s="82"/>
      <c r="Y139" s="82"/>
      <c r="Z139" s="82"/>
      <c r="AA139" s="82"/>
      <c r="AB139" s="82"/>
      <c r="AC139" s="82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1"/>
      <c r="BV139" s="81"/>
      <c r="BW139" s="81"/>
      <c r="BX139" s="81"/>
      <c r="BY139" s="81"/>
    </row>
    <row r="140" spans="1:77" s="10" customFormat="1" ht="18" customHeight="1" hidden="1">
      <c r="A140" s="11"/>
      <c r="B140" s="11"/>
      <c r="C140" s="79"/>
      <c r="D140" s="79"/>
      <c r="E140" s="79"/>
      <c r="F140" s="179" t="s">
        <v>101</v>
      </c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83"/>
      <c r="V140" s="82"/>
      <c r="W140" s="82"/>
      <c r="X140" s="82"/>
      <c r="Y140" s="82"/>
      <c r="Z140" s="82"/>
      <c r="AA140" s="82"/>
      <c r="AB140" s="82"/>
      <c r="AC140" s="82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1"/>
      <c r="BV140" s="81"/>
      <c r="BW140" s="81"/>
      <c r="BX140" s="81"/>
      <c r="BY140" s="81"/>
    </row>
    <row r="141" spans="1:77" s="10" customFormat="1" ht="17.25" customHeight="1" hidden="1">
      <c r="A141" s="11"/>
      <c r="B141" s="11"/>
      <c r="C141" s="79"/>
      <c r="D141" s="79"/>
      <c r="E141" s="79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83"/>
      <c r="V141" s="82"/>
      <c r="W141" s="82"/>
      <c r="X141" s="82"/>
      <c r="Y141" s="82"/>
      <c r="Z141" s="82"/>
      <c r="AA141" s="82"/>
      <c r="AB141" s="82"/>
      <c r="AC141" s="82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1"/>
      <c r="BV141" s="81"/>
      <c r="BW141" s="81"/>
      <c r="BX141" s="81"/>
      <c r="BY141" s="81"/>
    </row>
    <row r="142" spans="1:77" s="10" customFormat="1" ht="32.25" customHeight="1" hidden="1">
      <c r="A142" s="11"/>
      <c r="B142" s="11"/>
      <c r="C142" s="79"/>
      <c r="D142" s="79"/>
      <c r="E142" s="79"/>
      <c r="F142" s="195" t="s">
        <v>102</v>
      </c>
      <c r="G142" s="196"/>
      <c r="H142" s="196"/>
      <c r="I142" s="196"/>
      <c r="J142" s="196"/>
      <c r="K142" s="196"/>
      <c r="L142" s="197"/>
      <c r="M142" s="87"/>
      <c r="N142" s="144"/>
      <c r="O142" s="144"/>
      <c r="P142" s="144"/>
      <c r="Q142" s="180" t="s">
        <v>103</v>
      </c>
      <c r="R142" s="181"/>
      <c r="S142" s="181"/>
      <c r="T142" s="182"/>
      <c r="U142" s="83"/>
      <c r="V142" s="82"/>
      <c r="W142" s="82"/>
      <c r="X142" s="82"/>
      <c r="Y142" s="82"/>
      <c r="Z142" s="82"/>
      <c r="AA142" s="82"/>
      <c r="AB142" s="82"/>
      <c r="AC142" s="82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1"/>
      <c r="BV142" s="81"/>
      <c r="BW142" s="81"/>
      <c r="BX142" s="81"/>
      <c r="BY142" s="81"/>
    </row>
    <row r="143" spans="1:77" s="10" customFormat="1" ht="33.75" customHeight="1" hidden="1">
      <c r="A143" s="11"/>
      <c r="B143" s="11"/>
      <c r="C143" s="79"/>
      <c r="D143" s="79"/>
      <c r="E143" s="79"/>
      <c r="F143" s="195" t="s">
        <v>104</v>
      </c>
      <c r="G143" s="196"/>
      <c r="H143" s="196"/>
      <c r="I143" s="196"/>
      <c r="J143" s="196"/>
      <c r="K143" s="196"/>
      <c r="L143" s="197"/>
      <c r="M143" s="87"/>
      <c r="N143" s="144"/>
      <c r="O143" s="144"/>
      <c r="P143" s="144"/>
      <c r="Q143" s="180" t="s">
        <v>105</v>
      </c>
      <c r="R143" s="181"/>
      <c r="S143" s="181"/>
      <c r="T143" s="182"/>
      <c r="U143" s="83"/>
      <c r="V143" s="82"/>
      <c r="W143" s="82"/>
      <c r="X143" s="82"/>
      <c r="Y143" s="82"/>
      <c r="Z143" s="82"/>
      <c r="AA143" s="82"/>
      <c r="AB143" s="82"/>
      <c r="AC143" s="82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1"/>
      <c r="BV143" s="81"/>
      <c r="BW143" s="81"/>
      <c r="BX143" s="81"/>
      <c r="BY143" s="81"/>
    </row>
    <row r="144" spans="1:77" s="10" customFormat="1" ht="51" customHeight="1" hidden="1">
      <c r="A144" s="11"/>
      <c r="B144" s="11"/>
      <c r="C144" s="79"/>
      <c r="D144" s="79"/>
      <c r="E144" s="79"/>
      <c r="F144" s="195" t="s">
        <v>106</v>
      </c>
      <c r="G144" s="196"/>
      <c r="H144" s="196"/>
      <c r="I144" s="196"/>
      <c r="J144" s="196"/>
      <c r="K144" s="196"/>
      <c r="L144" s="197"/>
      <c r="M144" s="87"/>
      <c r="N144" s="144"/>
      <c r="O144" s="144"/>
      <c r="P144" s="144"/>
      <c r="Q144" s="180" t="s">
        <v>105</v>
      </c>
      <c r="R144" s="181"/>
      <c r="S144" s="181"/>
      <c r="T144" s="182"/>
      <c r="U144" s="83"/>
      <c r="V144" s="82"/>
      <c r="W144" s="82"/>
      <c r="X144" s="82"/>
      <c r="Y144" s="82"/>
      <c r="Z144" s="82"/>
      <c r="AA144" s="82"/>
      <c r="AB144" s="82"/>
      <c r="AC144" s="82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1"/>
      <c r="BV144" s="81"/>
      <c r="BW144" s="81"/>
      <c r="BX144" s="81"/>
      <c r="BY144" s="81"/>
    </row>
    <row r="145" spans="1:77" s="10" customFormat="1" ht="47.25" customHeight="1" hidden="1">
      <c r="A145" s="11"/>
      <c r="B145" s="11"/>
      <c r="C145" s="79"/>
      <c r="D145" s="79"/>
      <c r="E145" s="79"/>
      <c r="F145" s="195" t="s">
        <v>107</v>
      </c>
      <c r="G145" s="196"/>
      <c r="H145" s="196"/>
      <c r="I145" s="196"/>
      <c r="J145" s="196"/>
      <c r="K145" s="196"/>
      <c r="L145" s="197"/>
      <c r="M145" s="87"/>
      <c r="N145" s="144"/>
      <c r="O145" s="144"/>
      <c r="P145" s="144"/>
      <c r="Q145" s="180" t="s">
        <v>108</v>
      </c>
      <c r="R145" s="181"/>
      <c r="S145" s="181"/>
      <c r="T145" s="182"/>
      <c r="U145" s="83"/>
      <c r="V145" s="82"/>
      <c r="W145" s="82"/>
      <c r="X145" s="82"/>
      <c r="Y145" s="82"/>
      <c r="Z145" s="82"/>
      <c r="AA145" s="82"/>
      <c r="AB145" s="82"/>
      <c r="AC145" s="82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1"/>
      <c r="BV145" s="81"/>
      <c r="BW145" s="81"/>
      <c r="BX145" s="81"/>
      <c r="BY145" s="81"/>
    </row>
    <row r="146" spans="1:77" s="10" customFormat="1" ht="13.5" customHeight="1" hidden="1">
      <c r="A146" s="11"/>
      <c r="B146" s="11"/>
      <c r="C146" s="79"/>
      <c r="D146" s="79"/>
      <c r="E146" s="79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83"/>
      <c r="V146" s="82"/>
      <c r="W146" s="82"/>
      <c r="X146" s="82"/>
      <c r="Y146" s="82"/>
      <c r="Z146" s="82"/>
      <c r="AA146" s="82"/>
      <c r="AB146" s="82"/>
      <c r="AC146" s="82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1"/>
      <c r="BV146" s="81"/>
      <c r="BW146" s="81"/>
      <c r="BX146" s="81"/>
      <c r="BY146" s="81"/>
    </row>
    <row r="147" spans="1:77" s="10" customFormat="1" ht="23.25" customHeight="1" hidden="1">
      <c r="A147" s="11"/>
      <c r="B147" s="11"/>
      <c r="C147" s="79"/>
      <c r="D147" s="79"/>
      <c r="E147" s="79"/>
      <c r="F147" s="179" t="s">
        <v>109</v>
      </c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83"/>
      <c r="V147" s="82"/>
      <c r="W147" s="82"/>
      <c r="X147" s="82"/>
      <c r="Y147" s="82"/>
      <c r="Z147" s="82"/>
      <c r="AA147" s="82"/>
      <c r="AB147" s="82"/>
      <c r="AC147" s="82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1"/>
      <c r="BV147" s="81"/>
      <c r="BW147" s="81"/>
      <c r="BX147" s="81"/>
      <c r="BY147" s="81"/>
    </row>
    <row r="148" spans="1:77" s="10" customFormat="1" ht="12.75" customHeight="1" hidden="1">
      <c r="A148" s="11"/>
      <c r="B148" s="11"/>
      <c r="C148" s="79"/>
      <c r="D148" s="79"/>
      <c r="E148" s="79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83"/>
      <c r="V148" s="82"/>
      <c r="W148" s="82"/>
      <c r="X148" s="82"/>
      <c r="Y148" s="82"/>
      <c r="Z148" s="82"/>
      <c r="AA148" s="82"/>
      <c r="AB148" s="82"/>
      <c r="AC148" s="82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1"/>
      <c r="BV148" s="81"/>
      <c r="BW148" s="81"/>
      <c r="BX148" s="81"/>
      <c r="BY148" s="81"/>
    </row>
    <row r="149" spans="1:77" s="10" customFormat="1" ht="32.25" customHeight="1" hidden="1">
      <c r="A149" s="11"/>
      <c r="B149" s="11"/>
      <c r="C149" s="79"/>
      <c r="D149" s="79"/>
      <c r="E149" s="79"/>
      <c r="F149" s="192" t="s">
        <v>110</v>
      </c>
      <c r="G149" s="193"/>
      <c r="H149" s="193"/>
      <c r="I149" s="193"/>
      <c r="J149" s="193"/>
      <c r="K149" s="193"/>
      <c r="L149" s="194"/>
      <c r="M149" s="88"/>
      <c r="N149" s="145"/>
      <c r="O149" s="145"/>
      <c r="P149" s="145"/>
      <c r="Q149" s="180" t="s">
        <v>111</v>
      </c>
      <c r="R149" s="181"/>
      <c r="S149" s="181"/>
      <c r="T149" s="182"/>
      <c r="U149" s="83"/>
      <c r="V149" s="82"/>
      <c r="W149" s="82"/>
      <c r="X149" s="82"/>
      <c r="Y149" s="82"/>
      <c r="Z149" s="82"/>
      <c r="AA149" s="82"/>
      <c r="AB149" s="82"/>
      <c r="AC149" s="82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1"/>
      <c r="BV149" s="81"/>
      <c r="BW149" s="81"/>
      <c r="BX149" s="81"/>
      <c r="BY149" s="81"/>
    </row>
    <row r="150" spans="1:77" s="10" customFormat="1" ht="35.25" customHeight="1" hidden="1">
      <c r="A150" s="11"/>
      <c r="B150" s="11"/>
      <c r="C150" s="79"/>
      <c r="D150" s="79"/>
      <c r="E150" s="79"/>
      <c r="F150" s="192" t="s">
        <v>112</v>
      </c>
      <c r="G150" s="193"/>
      <c r="H150" s="193"/>
      <c r="I150" s="193"/>
      <c r="J150" s="193"/>
      <c r="K150" s="193"/>
      <c r="L150" s="194"/>
      <c r="M150" s="88"/>
      <c r="N150" s="145"/>
      <c r="O150" s="145"/>
      <c r="P150" s="145"/>
      <c r="Q150" s="180" t="s">
        <v>113</v>
      </c>
      <c r="R150" s="181"/>
      <c r="S150" s="181"/>
      <c r="T150" s="182"/>
      <c r="U150" s="83"/>
      <c r="V150" s="82"/>
      <c r="W150" s="82"/>
      <c r="X150" s="82"/>
      <c r="Y150" s="82"/>
      <c r="Z150" s="82"/>
      <c r="AA150" s="82"/>
      <c r="AB150" s="82"/>
      <c r="AC150" s="82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1"/>
      <c r="BV150" s="81"/>
      <c r="BW150" s="81"/>
      <c r="BX150" s="81"/>
      <c r="BY150" s="81"/>
    </row>
    <row r="151" spans="1:77" s="10" customFormat="1" ht="31.5" customHeight="1" hidden="1">
      <c r="A151" s="11"/>
      <c r="B151" s="11"/>
      <c r="C151" s="79"/>
      <c r="D151" s="79"/>
      <c r="E151" s="79"/>
      <c r="F151" s="195" t="s">
        <v>114</v>
      </c>
      <c r="G151" s="196"/>
      <c r="H151" s="196"/>
      <c r="I151" s="196"/>
      <c r="J151" s="196"/>
      <c r="K151" s="196"/>
      <c r="L151" s="197"/>
      <c r="M151" s="87"/>
      <c r="N151" s="144"/>
      <c r="O151" s="144"/>
      <c r="P151" s="144"/>
      <c r="Q151" s="180" t="s">
        <v>115</v>
      </c>
      <c r="R151" s="181"/>
      <c r="S151" s="181"/>
      <c r="T151" s="182"/>
      <c r="U151" s="83"/>
      <c r="V151" s="82"/>
      <c r="W151" s="82"/>
      <c r="X151" s="82"/>
      <c r="Y151" s="82"/>
      <c r="Z151" s="82"/>
      <c r="AA151" s="82"/>
      <c r="AB151" s="82"/>
      <c r="AC151" s="82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1"/>
      <c r="BV151" s="81"/>
      <c r="BW151" s="81"/>
      <c r="BX151" s="81"/>
      <c r="BY151" s="81"/>
    </row>
    <row r="152" spans="1:77" s="10" customFormat="1" ht="51.75" customHeight="1" hidden="1">
      <c r="A152" s="11"/>
      <c r="B152" s="11"/>
      <c r="C152" s="79"/>
      <c r="D152" s="79"/>
      <c r="E152" s="79"/>
      <c r="F152" s="192" t="s">
        <v>116</v>
      </c>
      <c r="G152" s="193"/>
      <c r="H152" s="193"/>
      <c r="I152" s="193"/>
      <c r="J152" s="193"/>
      <c r="K152" s="193"/>
      <c r="L152" s="194"/>
      <c r="M152" s="88"/>
      <c r="N152" s="145"/>
      <c r="O152" s="145"/>
      <c r="P152" s="145"/>
      <c r="Q152" s="180" t="s">
        <v>117</v>
      </c>
      <c r="R152" s="181"/>
      <c r="S152" s="181"/>
      <c r="T152" s="182"/>
      <c r="U152" s="83"/>
      <c r="V152" s="82"/>
      <c r="W152" s="82"/>
      <c r="X152" s="82"/>
      <c r="Y152" s="82"/>
      <c r="Z152" s="82"/>
      <c r="AA152" s="82"/>
      <c r="AB152" s="82"/>
      <c r="AC152" s="82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1"/>
      <c r="BV152" s="81"/>
      <c r="BW152" s="81"/>
      <c r="BX152" s="81"/>
      <c r="BY152" s="81"/>
    </row>
    <row r="153" spans="1:77" s="10" customFormat="1" ht="32.25" customHeight="1" hidden="1">
      <c r="A153" s="11"/>
      <c r="B153" s="11"/>
      <c r="C153" s="79"/>
      <c r="D153" s="79"/>
      <c r="E153" s="79"/>
      <c r="F153" s="192" t="s">
        <v>118</v>
      </c>
      <c r="G153" s="193"/>
      <c r="H153" s="193"/>
      <c r="I153" s="193"/>
      <c r="J153" s="193"/>
      <c r="K153" s="193"/>
      <c r="L153" s="194"/>
      <c r="M153" s="88"/>
      <c r="N153" s="145"/>
      <c r="O153" s="145"/>
      <c r="P153" s="145"/>
      <c r="Q153" s="180" t="s">
        <v>119</v>
      </c>
      <c r="R153" s="181"/>
      <c r="S153" s="181"/>
      <c r="T153" s="182"/>
      <c r="U153" s="83"/>
      <c r="V153" s="82"/>
      <c r="W153" s="82"/>
      <c r="X153" s="82"/>
      <c r="Y153" s="82"/>
      <c r="Z153" s="82"/>
      <c r="AA153" s="82"/>
      <c r="AB153" s="82"/>
      <c r="AC153" s="82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1"/>
      <c r="BV153" s="81"/>
      <c r="BW153" s="81"/>
      <c r="BX153" s="81"/>
      <c r="BY153" s="81"/>
    </row>
    <row r="154" spans="1:77" s="10" customFormat="1" ht="79.5" customHeight="1" hidden="1">
      <c r="A154" s="11"/>
      <c r="B154" s="11"/>
      <c r="C154" s="79"/>
      <c r="D154" s="79"/>
      <c r="E154" s="79"/>
      <c r="F154" s="204" t="s">
        <v>120</v>
      </c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  <c r="T154" s="204"/>
      <c r="U154" s="83"/>
      <c r="V154" s="82"/>
      <c r="W154" s="82"/>
      <c r="X154" s="82"/>
      <c r="Y154" s="82"/>
      <c r="Z154" s="82"/>
      <c r="AA154" s="82"/>
      <c r="AB154" s="82"/>
      <c r="AC154" s="82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1"/>
      <c r="BV154" s="81"/>
      <c r="BW154" s="81"/>
      <c r="BX154" s="81"/>
      <c r="BY154" s="81"/>
    </row>
    <row r="155" spans="1:77" s="10" customFormat="1" ht="40.5" customHeight="1" hidden="1">
      <c r="A155" s="11"/>
      <c r="B155" s="11"/>
      <c r="C155" s="79"/>
      <c r="D155" s="79"/>
      <c r="E155" s="79"/>
      <c r="F155" s="176" t="s">
        <v>121</v>
      </c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83"/>
      <c r="V155" s="82"/>
      <c r="W155" s="82"/>
      <c r="X155" s="82"/>
      <c r="Y155" s="82"/>
      <c r="Z155" s="82"/>
      <c r="AA155" s="82"/>
      <c r="AB155" s="82"/>
      <c r="AC155" s="82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1"/>
      <c r="BV155" s="81"/>
      <c r="BW155" s="81"/>
      <c r="BX155" s="81"/>
      <c r="BY155" s="81"/>
    </row>
    <row r="156" spans="6:20" ht="19.5" customHeight="1" hidden="1">
      <c r="F156" s="203"/>
      <c r="G156" s="203"/>
      <c r="H156" s="203"/>
      <c r="I156" s="203"/>
      <c r="J156" s="203"/>
      <c r="K156" s="203"/>
      <c r="L156" s="203"/>
      <c r="M156" s="203"/>
      <c r="N156" s="203"/>
      <c r="O156" s="203"/>
      <c r="P156" s="203"/>
      <c r="Q156" s="203"/>
      <c r="R156" s="203"/>
      <c r="S156" s="203"/>
      <c r="T156" s="203"/>
    </row>
    <row r="157" spans="6:20" ht="16.5" hidden="1" thickBot="1">
      <c r="F157" s="200">
        <f ca="1">IF(C157=0,TODAY(),C157)</f>
        <v>43273</v>
      </c>
      <c r="G157" s="201"/>
      <c r="H157" s="202"/>
      <c r="I157" s="202"/>
      <c r="J157" s="202"/>
      <c r="K157" s="176">
        <f>H9</f>
        <v>0</v>
      </c>
      <c r="L157" s="176"/>
      <c r="M157" s="89"/>
      <c r="N157" s="146"/>
      <c r="O157" s="146"/>
      <c r="P157" s="146"/>
      <c r="Q157" s="147"/>
      <c r="R157" s="147"/>
      <c r="S157" s="147"/>
      <c r="T157" s="147"/>
    </row>
    <row r="159" spans="6:13" ht="15.75" customHeight="1">
      <c r="F159" s="31"/>
      <c r="G159" s="31"/>
      <c r="H159" s="31"/>
      <c r="I159" s="31"/>
      <c r="J159" s="31"/>
      <c r="K159" s="31"/>
      <c r="L159" s="31"/>
      <c r="M159" s="31"/>
    </row>
    <row r="160" spans="1:13" ht="15.75" customHeight="1" hidden="1">
      <c r="A160" s="106" t="s">
        <v>129</v>
      </c>
      <c r="B160" s="90"/>
      <c r="F160" s="31"/>
      <c r="G160" s="31"/>
      <c r="H160" s="31"/>
      <c r="I160" s="31"/>
      <c r="J160" s="31"/>
      <c r="K160" s="31"/>
      <c r="L160" s="31"/>
      <c r="M160" s="31"/>
    </row>
    <row r="161" spans="1:13" ht="19.5" customHeight="1">
      <c r="A161" s="90"/>
      <c r="B161" s="90"/>
      <c r="F161" s="31"/>
      <c r="G161" s="31"/>
      <c r="H161" s="31"/>
      <c r="I161" s="31"/>
      <c r="J161" s="31"/>
      <c r="K161" s="31"/>
      <c r="L161" s="31"/>
      <c r="M161" s="31"/>
    </row>
    <row r="162" spans="1:13" ht="15" customHeight="1">
      <c r="A162" s="107"/>
      <c r="B162" s="92"/>
      <c r="C162" s="93"/>
      <c r="D162" s="93"/>
      <c r="E162" s="93"/>
      <c r="F162" s="109"/>
      <c r="G162" s="109"/>
      <c r="H162" s="109"/>
      <c r="I162" s="109"/>
      <c r="J162" s="109"/>
      <c r="K162" s="109"/>
      <c r="L162" s="109"/>
      <c r="M162" s="109"/>
    </row>
    <row r="163" spans="1:13" ht="15" customHeight="1">
      <c r="A163" s="107"/>
      <c r="B163" s="92"/>
      <c r="C163" s="93"/>
      <c r="D163" s="93"/>
      <c r="E163" s="93"/>
      <c r="F163" s="109"/>
      <c r="G163" s="109"/>
      <c r="H163" s="109"/>
      <c r="I163" s="109"/>
      <c r="J163" s="109"/>
      <c r="K163" s="109"/>
      <c r="L163" s="109"/>
      <c r="M163" s="109"/>
    </row>
    <row r="164" spans="1:26" ht="15" customHeight="1">
      <c r="A164" s="107"/>
      <c r="B164" s="92"/>
      <c r="C164" s="93"/>
      <c r="D164" s="93"/>
      <c r="E164" s="93"/>
      <c r="F164" s="109"/>
      <c r="G164" s="115"/>
      <c r="H164" s="92"/>
      <c r="I164" s="109"/>
      <c r="J164" s="109"/>
      <c r="K164" s="109"/>
      <c r="L164" s="94"/>
      <c r="M164" s="95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</row>
    <row r="165" spans="1:13" ht="15" customHeight="1" hidden="1">
      <c r="A165" s="108"/>
      <c r="B165" s="97"/>
      <c r="C165" s="92"/>
      <c r="D165" s="92"/>
      <c r="E165" s="92"/>
      <c r="F165" s="109"/>
      <c r="G165" s="98"/>
      <c r="H165" s="92"/>
      <c r="I165" s="109"/>
      <c r="J165" s="109"/>
      <c r="K165" s="109"/>
      <c r="L165" s="109"/>
      <c r="M165" s="109"/>
    </row>
    <row r="166" spans="1:13" ht="15" customHeight="1" hidden="1">
      <c r="A166" s="108"/>
      <c r="B166" s="97"/>
      <c r="C166" s="99"/>
      <c r="D166" s="99"/>
      <c r="E166" s="99"/>
      <c r="F166" s="92"/>
      <c r="G166" s="98"/>
      <c r="H166" s="92"/>
      <c r="I166" s="109"/>
      <c r="J166" s="109"/>
      <c r="K166" s="109"/>
      <c r="L166" s="109"/>
      <c r="M166" s="109"/>
    </row>
    <row r="167" spans="1:13" ht="15" customHeight="1">
      <c r="A167" s="107"/>
      <c r="B167" s="92"/>
      <c r="C167" s="93"/>
      <c r="D167" s="93"/>
      <c r="E167" s="93"/>
      <c r="F167" s="99"/>
      <c r="G167" s="109"/>
      <c r="H167" s="109"/>
      <c r="I167" s="109"/>
      <c r="J167" s="109"/>
      <c r="K167" s="109"/>
      <c r="L167" s="109"/>
      <c r="M167" s="109"/>
    </row>
    <row r="168" spans="1:19" ht="15" customHeight="1" hidden="1">
      <c r="A168" s="108"/>
      <c r="B168" s="97"/>
      <c r="C168" s="92"/>
      <c r="D168" s="92"/>
      <c r="E168" s="92"/>
      <c r="F168" s="96"/>
      <c r="G168" s="96"/>
      <c r="H168" s="96"/>
      <c r="I168" s="96"/>
      <c r="J168" s="96"/>
      <c r="K168" s="110"/>
      <c r="L168" s="111"/>
      <c r="M168" s="110"/>
      <c r="N168" s="128"/>
      <c r="O168" s="128"/>
      <c r="P168" s="128"/>
      <c r="Q168" s="128"/>
      <c r="R168" s="128"/>
      <c r="S168" s="128"/>
    </row>
    <row r="169" spans="1:20" ht="15" customHeight="1" hidden="1">
      <c r="A169" s="108"/>
      <c r="B169" s="100"/>
      <c r="C169" s="253"/>
      <c r="D169" s="253"/>
      <c r="E169" s="253"/>
      <c r="F169" s="253"/>
      <c r="G169" s="253"/>
      <c r="H169" s="253"/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253"/>
      <c r="T169" s="135"/>
    </row>
    <row r="170" spans="1:20" ht="15" customHeight="1">
      <c r="A170" s="107"/>
      <c r="B170" s="101"/>
      <c r="C170" s="102"/>
      <c r="D170" s="102"/>
      <c r="E170" s="102"/>
      <c r="F170" s="103"/>
      <c r="G170" s="103"/>
      <c r="H170" s="103"/>
      <c r="I170" s="103"/>
      <c r="J170" s="103"/>
      <c r="K170" s="103"/>
      <c r="L170" s="103"/>
      <c r="M170" s="104"/>
      <c r="N170" s="149"/>
      <c r="O170" s="149"/>
      <c r="P170" s="149"/>
      <c r="Q170" s="149"/>
      <c r="R170" s="149"/>
      <c r="S170" s="149"/>
      <c r="T170" s="149"/>
    </row>
    <row r="171" spans="1:13" ht="15" customHeight="1">
      <c r="A171" s="107"/>
      <c r="B171" s="101"/>
      <c r="C171" s="102"/>
      <c r="D171" s="102"/>
      <c r="E171" s="102"/>
      <c r="F171" s="109"/>
      <c r="G171" s="109"/>
      <c r="H171" s="109"/>
      <c r="I171" s="109"/>
      <c r="J171" s="109"/>
      <c r="K171" s="109"/>
      <c r="L171" s="109"/>
      <c r="M171" s="109"/>
    </row>
    <row r="172" spans="1:13" ht="15" customHeight="1">
      <c r="A172" s="107"/>
      <c r="B172" s="101"/>
      <c r="C172" s="102"/>
      <c r="D172" s="102"/>
      <c r="E172" s="102"/>
      <c r="F172" s="109"/>
      <c r="G172" s="109"/>
      <c r="H172" s="109"/>
      <c r="I172" s="109"/>
      <c r="J172" s="109"/>
      <c r="K172" s="109"/>
      <c r="L172" s="109"/>
      <c r="M172" s="109"/>
    </row>
    <row r="173" spans="1:12" ht="12.75">
      <c r="A173" s="91"/>
      <c r="B173" s="105"/>
      <c r="C173" s="102"/>
      <c r="D173" s="102"/>
      <c r="E173" s="102"/>
      <c r="F173" s="31"/>
      <c r="G173" s="31"/>
      <c r="H173" s="31"/>
      <c r="I173" s="31"/>
      <c r="J173" s="31"/>
      <c r="K173" s="31"/>
      <c r="L173" s="31"/>
    </row>
    <row r="174" spans="6:12" ht="12.75">
      <c r="F174" s="31"/>
      <c r="G174" s="31"/>
      <c r="H174" s="31"/>
      <c r="I174" s="31"/>
      <c r="J174" s="31"/>
      <c r="K174" s="31"/>
      <c r="L174" s="31"/>
    </row>
    <row r="175" spans="6:12" ht="12.75">
      <c r="F175" s="31"/>
      <c r="G175" s="31"/>
      <c r="H175" s="31"/>
      <c r="I175" s="31"/>
      <c r="J175" s="31"/>
      <c r="K175" s="31"/>
      <c r="L175" s="31"/>
    </row>
    <row r="176" spans="6:12" ht="12.75">
      <c r="F176" s="31"/>
      <c r="G176" s="31"/>
      <c r="H176" s="31"/>
      <c r="I176" s="31"/>
      <c r="J176" s="31"/>
      <c r="K176" s="31"/>
      <c r="L176" s="31"/>
    </row>
    <row r="177" spans="6:12" ht="12.75">
      <c r="F177" s="31"/>
      <c r="G177" s="31"/>
      <c r="H177" s="31"/>
      <c r="I177" s="31"/>
      <c r="J177" s="31"/>
      <c r="K177" s="31"/>
      <c r="L177" s="31"/>
    </row>
    <row r="178" spans="6:12" ht="12.75">
      <c r="F178" s="31"/>
      <c r="G178" s="31"/>
      <c r="H178" s="31"/>
      <c r="I178" s="31"/>
      <c r="J178" s="31"/>
      <c r="K178" s="31"/>
      <c r="L178" s="31"/>
    </row>
    <row r="179" spans="6:12" ht="12.75">
      <c r="F179" s="31"/>
      <c r="G179" s="31"/>
      <c r="H179" s="31"/>
      <c r="I179" s="31"/>
      <c r="J179" s="31"/>
      <c r="K179" s="31"/>
      <c r="L179" s="31"/>
    </row>
    <row r="180" spans="6:12" ht="12.75">
      <c r="F180" s="31"/>
      <c r="G180" s="31"/>
      <c r="H180" s="31"/>
      <c r="I180" s="31"/>
      <c r="J180" s="31"/>
      <c r="K180" s="31"/>
      <c r="L180" s="31"/>
    </row>
    <row r="181" spans="6:12" ht="12.75">
      <c r="F181" s="31"/>
      <c r="G181" s="31"/>
      <c r="H181" s="31"/>
      <c r="I181" s="31"/>
      <c r="J181" s="31"/>
      <c r="K181" s="31"/>
      <c r="L181" s="31"/>
    </row>
  </sheetData>
  <sheetProtection password="C7A8" sheet="1"/>
  <mergeCells count="253">
    <mergeCell ref="A13:E13"/>
    <mergeCell ref="A11:E12"/>
    <mergeCell ref="J19:L19"/>
    <mergeCell ref="F22:G22"/>
    <mergeCell ref="F15:G15"/>
    <mergeCell ref="H15:I15"/>
    <mergeCell ref="F20:G20"/>
    <mergeCell ref="F18:G18"/>
    <mergeCell ref="H18:I18"/>
    <mergeCell ref="F19:G19"/>
    <mergeCell ref="C169:S169"/>
    <mergeCell ref="F14:G14"/>
    <mergeCell ref="H14:I14"/>
    <mergeCell ref="F24:G24"/>
    <mergeCell ref="H24:J24"/>
    <mergeCell ref="H21:I21"/>
    <mergeCell ref="H20:I20"/>
    <mergeCell ref="F43:G43"/>
    <mergeCell ref="H43:I43"/>
    <mergeCell ref="H40:I40"/>
    <mergeCell ref="H28:I28"/>
    <mergeCell ref="H25:J25"/>
    <mergeCell ref="J18:L18"/>
    <mergeCell ref="H26:J26"/>
    <mergeCell ref="H27:J27"/>
    <mergeCell ref="H35:I35"/>
    <mergeCell ref="H19:I19"/>
    <mergeCell ref="H31:I31"/>
    <mergeCell ref="F32:G32"/>
    <mergeCell ref="H32:I32"/>
    <mergeCell ref="Q29:T29"/>
    <mergeCell ref="H30:I30"/>
    <mergeCell ref="F31:G31"/>
    <mergeCell ref="F30:G30"/>
    <mergeCell ref="F35:G35"/>
    <mergeCell ref="F38:G38"/>
    <mergeCell ref="H38:I38"/>
    <mergeCell ref="F36:G36"/>
    <mergeCell ref="H36:I36"/>
    <mergeCell ref="H33:I33"/>
    <mergeCell ref="F33:G33"/>
    <mergeCell ref="F34:G34"/>
    <mergeCell ref="H34:I34"/>
    <mergeCell ref="X15:AA15"/>
    <mergeCell ref="J1:L4"/>
    <mergeCell ref="F17:G17"/>
    <mergeCell ref="F6:L6"/>
    <mergeCell ref="V1:Y1"/>
    <mergeCell ref="F9:G9"/>
    <mergeCell ref="H9:J9"/>
    <mergeCell ref="F7:L7"/>
    <mergeCell ref="X16:AA16"/>
    <mergeCell ref="F10:G10"/>
    <mergeCell ref="H10:J10"/>
    <mergeCell ref="J14:L14"/>
    <mergeCell ref="J15:L15"/>
    <mergeCell ref="H17:L17"/>
    <mergeCell ref="H29:L29"/>
    <mergeCell ref="F41:G41"/>
    <mergeCell ref="H41:I41"/>
    <mergeCell ref="F37:G37"/>
    <mergeCell ref="H37:I37"/>
    <mergeCell ref="F40:G40"/>
    <mergeCell ref="F46:G46"/>
    <mergeCell ref="H46:I46"/>
    <mergeCell ref="F39:G39"/>
    <mergeCell ref="H39:I39"/>
    <mergeCell ref="F44:G44"/>
    <mergeCell ref="H44:I44"/>
    <mergeCell ref="F45:G45"/>
    <mergeCell ref="H45:I45"/>
    <mergeCell ref="F42:G42"/>
    <mergeCell ref="H42:I42"/>
    <mergeCell ref="F49:G49"/>
    <mergeCell ref="H49:I49"/>
    <mergeCell ref="F50:G50"/>
    <mergeCell ref="H50:I50"/>
    <mergeCell ref="F47:G47"/>
    <mergeCell ref="H47:I47"/>
    <mergeCell ref="F48:G48"/>
    <mergeCell ref="H48:I48"/>
    <mergeCell ref="F54:G54"/>
    <mergeCell ref="H54:I54"/>
    <mergeCell ref="F51:G51"/>
    <mergeCell ref="H51:I51"/>
    <mergeCell ref="F59:G59"/>
    <mergeCell ref="H59:I59"/>
    <mergeCell ref="F52:G52"/>
    <mergeCell ref="H52:I52"/>
    <mergeCell ref="F53:G53"/>
    <mergeCell ref="H53:I53"/>
    <mergeCell ref="F55:G55"/>
    <mergeCell ref="H55:I55"/>
    <mergeCell ref="F56:G56"/>
    <mergeCell ref="H56:I56"/>
    <mergeCell ref="F57:G57"/>
    <mergeCell ref="H57:I57"/>
    <mergeCell ref="F61:G61"/>
    <mergeCell ref="H61:I61"/>
    <mergeCell ref="F70:G70"/>
    <mergeCell ref="H70:I70"/>
    <mergeCell ref="F63:G63"/>
    <mergeCell ref="H63:I63"/>
    <mergeCell ref="F68:G68"/>
    <mergeCell ref="H68:I68"/>
    <mergeCell ref="F69:G69"/>
    <mergeCell ref="H69:I69"/>
    <mergeCell ref="F62:G62"/>
    <mergeCell ref="H62:I62"/>
    <mergeCell ref="F66:G66"/>
    <mergeCell ref="H66:I66"/>
    <mergeCell ref="F67:G67"/>
    <mergeCell ref="H67:I67"/>
    <mergeCell ref="F64:G64"/>
    <mergeCell ref="H64:I64"/>
    <mergeCell ref="F65:G65"/>
    <mergeCell ref="H65:I65"/>
    <mergeCell ref="F58:G58"/>
    <mergeCell ref="H58:I58"/>
    <mergeCell ref="F75:G75"/>
    <mergeCell ref="H75:I75"/>
    <mergeCell ref="F72:G72"/>
    <mergeCell ref="H72:I72"/>
    <mergeCell ref="F73:G73"/>
    <mergeCell ref="H73:I73"/>
    <mergeCell ref="F60:G60"/>
    <mergeCell ref="H60:I60"/>
    <mergeCell ref="F71:G71"/>
    <mergeCell ref="H71:I71"/>
    <mergeCell ref="F76:G76"/>
    <mergeCell ref="H76:I76"/>
    <mergeCell ref="F77:G77"/>
    <mergeCell ref="H77:I77"/>
    <mergeCell ref="F74:G74"/>
    <mergeCell ref="H74:I74"/>
    <mergeCell ref="F80:G80"/>
    <mergeCell ref="H80:I80"/>
    <mergeCell ref="F81:G81"/>
    <mergeCell ref="H81:I81"/>
    <mergeCell ref="F78:G78"/>
    <mergeCell ref="H78:I78"/>
    <mergeCell ref="F79:G79"/>
    <mergeCell ref="H79:I79"/>
    <mergeCell ref="F85:G85"/>
    <mergeCell ref="H85:I85"/>
    <mergeCell ref="F82:G82"/>
    <mergeCell ref="H82:I82"/>
    <mergeCell ref="F83:G83"/>
    <mergeCell ref="H83:I83"/>
    <mergeCell ref="V100:W100"/>
    <mergeCell ref="F107:T107"/>
    <mergeCell ref="F104:T104"/>
    <mergeCell ref="F103:T103"/>
    <mergeCell ref="F98:T98"/>
    <mergeCell ref="F105:T105"/>
    <mergeCell ref="F106:T106"/>
    <mergeCell ref="X100:Y100"/>
    <mergeCell ref="F102:L102"/>
    <mergeCell ref="F149:L149"/>
    <mergeCell ref="H16:I16"/>
    <mergeCell ref="F16:G16"/>
    <mergeCell ref="F127:T127"/>
    <mergeCell ref="F99:T99"/>
    <mergeCell ref="F93:T93"/>
    <mergeCell ref="F115:T115"/>
    <mergeCell ref="F116:T116"/>
    <mergeCell ref="F109:T109"/>
    <mergeCell ref="F122:T122"/>
    <mergeCell ref="F110:T110"/>
    <mergeCell ref="F111:T111"/>
    <mergeCell ref="F112:T112"/>
    <mergeCell ref="F108:T108"/>
    <mergeCell ref="F118:T118"/>
    <mergeCell ref="F113:T113"/>
    <mergeCell ref="F114:T114"/>
    <mergeCell ref="F92:G92"/>
    <mergeCell ref="H92:I92"/>
    <mergeCell ref="F89:G89"/>
    <mergeCell ref="H89:I89"/>
    <mergeCell ref="F90:G90"/>
    <mergeCell ref="H90:I90"/>
    <mergeCell ref="F91:G91"/>
    <mergeCell ref="H91:I91"/>
    <mergeCell ref="F95:L95"/>
    <mergeCell ref="F101:R101"/>
    <mergeCell ref="F157:G157"/>
    <mergeCell ref="H157:J157"/>
    <mergeCell ref="K157:L157"/>
    <mergeCell ref="F153:L153"/>
    <mergeCell ref="F155:T155"/>
    <mergeCell ref="F156:T156"/>
    <mergeCell ref="F154:T154"/>
    <mergeCell ref="Q153:T153"/>
    <mergeCell ref="F150:L150"/>
    <mergeCell ref="F151:L151"/>
    <mergeCell ref="Q151:T151"/>
    <mergeCell ref="Q150:T150"/>
    <mergeCell ref="F143:L143"/>
    <mergeCell ref="F134:T134"/>
    <mergeCell ref="Q152:T152"/>
    <mergeCell ref="F152:L152"/>
    <mergeCell ref="F131:T131"/>
    <mergeCell ref="F145:L145"/>
    <mergeCell ref="Q145:T145"/>
    <mergeCell ref="F144:L144"/>
    <mergeCell ref="Q142:T142"/>
    <mergeCell ref="Q143:T143"/>
    <mergeCell ref="Q144:T144"/>
    <mergeCell ref="F142:L142"/>
    <mergeCell ref="F124:T124"/>
    <mergeCell ref="F125:T125"/>
    <mergeCell ref="F121:T121"/>
    <mergeCell ref="F123:T123"/>
    <mergeCell ref="F117:T117"/>
    <mergeCell ref="F129:T129"/>
    <mergeCell ref="F119:T119"/>
    <mergeCell ref="F120:T120"/>
    <mergeCell ref="F126:T126"/>
    <mergeCell ref="F128:T128"/>
    <mergeCell ref="F130:T130"/>
    <mergeCell ref="Q149:T149"/>
    <mergeCell ref="F146:T146"/>
    <mergeCell ref="F147:T147"/>
    <mergeCell ref="F148:T148"/>
    <mergeCell ref="J21:L21"/>
    <mergeCell ref="H22:L22"/>
    <mergeCell ref="F21:G21"/>
    <mergeCell ref="F132:T132"/>
    <mergeCell ref="F140:T140"/>
    <mergeCell ref="F133:T133"/>
    <mergeCell ref="F136:T136"/>
    <mergeCell ref="F135:T135"/>
    <mergeCell ref="F138:T138"/>
    <mergeCell ref="F141:T141"/>
    <mergeCell ref="F139:T139"/>
    <mergeCell ref="F137:T137"/>
    <mergeCell ref="F88:G88"/>
    <mergeCell ref="H88:I88"/>
    <mergeCell ref="F11:G11"/>
    <mergeCell ref="H11:I11"/>
    <mergeCell ref="F87:G87"/>
    <mergeCell ref="H87:I87"/>
    <mergeCell ref="F86:G86"/>
    <mergeCell ref="H86:I86"/>
    <mergeCell ref="F84:G84"/>
    <mergeCell ref="H84:I84"/>
    <mergeCell ref="J11:L11"/>
    <mergeCell ref="F12:G12"/>
    <mergeCell ref="F13:G13"/>
    <mergeCell ref="J12:L12"/>
    <mergeCell ref="J13:L13"/>
    <mergeCell ref="H12:I12"/>
    <mergeCell ref="H13:I13"/>
  </mergeCells>
  <conditionalFormatting sqref="H54:J91 L54:L91 F32:G91">
    <cfRule type="expression" priority="60" dxfId="78" stopIfTrue="1">
      <formula>$V32</formula>
    </cfRule>
  </conditionalFormatting>
  <conditionalFormatting sqref="Q31:T91">
    <cfRule type="expression" priority="61" dxfId="79" stopIfTrue="1">
      <formula>$BH31</formula>
    </cfRule>
  </conditionalFormatting>
  <conditionalFormatting sqref="T102:T126">
    <cfRule type="expression" priority="62" dxfId="80" stopIfTrue="1">
      <formula>L102</formula>
    </cfRule>
  </conditionalFormatting>
  <conditionalFormatting sqref="F168:K168">
    <cfRule type="expression" priority="100" dxfId="78" stopIfTrue="1">
      <formula>$U169</formula>
    </cfRule>
  </conditionalFormatting>
  <conditionalFormatting sqref="T169 L168:S168">
    <cfRule type="expression" priority="101" dxfId="79" stopIfTrue="1">
      <formula>$BF168</formula>
    </cfRule>
  </conditionalFormatting>
  <conditionalFormatting sqref="Q102:S126">
    <cfRule type="expression" priority="103" dxfId="80" stopIfTrue="1">
      <formula>J102</formula>
    </cfRule>
  </conditionalFormatting>
  <conditionalFormatting sqref="P102:P126">
    <cfRule type="expression" priority="104" dxfId="80" stopIfTrue="1">
      <formula>J102</formula>
    </cfRule>
  </conditionalFormatting>
  <conditionalFormatting sqref="O102:O126">
    <cfRule type="expression" priority="105" dxfId="80" stopIfTrue="1">
      <formula>J102</formula>
    </cfRule>
  </conditionalFormatting>
  <conditionalFormatting sqref="F102:M126">
    <cfRule type="expression" priority="106" dxfId="80" stopIfTrue="1">
      <formula>C102</formula>
    </cfRule>
  </conditionalFormatting>
  <conditionalFormatting sqref="N102:N126">
    <cfRule type="expression" priority="107" dxfId="80" stopIfTrue="1">
      <formula>J102</formula>
    </cfRule>
  </conditionalFormatting>
  <conditionalFormatting sqref="F31:L31">
    <cfRule type="expression" priority="63" dxfId="78" stopIfTrue="1">
      <formula>$V$31</formula>
    </cfRule>
  </conditionalFormatting>
  <conditionalFormatting sqref="H32:L32">
    <cfRule type="expression" priority="64" dxfId="78" stopIfTrue="1">
      <formula>$V$32</formula>
    </cfRule>
  </conditionalFormatting>
  <conditionalFormatting sqref="H33:L33">
    <cfRule type="expression" priority="65" dxfId="78" stopIfTrue="1">
      <formula>$V$33</formula>
    </cfRule>
  </conditionalFormatting>
  <conditionalFormatting sqref="H34:L34">
    <cfRule type="expression" priority="66" dxfId="78" stopIfTrue="1">
      <formula>$V$34</formula>
    </cfRule>
  </conditionalFormatting>
  <conditionalFormatting sqref="H35:L35">
    <cfRule type="expression" priority="67" dxfId="78" stopIfTrue="1">
      <formula>$V$35</formula>
    </cfRule>
  </conditionalFormatting>
  <conditionalFormatting sqref="H36:L36">
    <cfRule type="expression" priority="68" dxfId="78" stopIfTrue="1">
      <formula>$V$36</formula>
    </cfRule>
  </conditionalFormatting>
  <conditionalFormatting sqref="H37:L37">
    <cfRule type="expression" priority="69" dxfId="78" stopIfTrue="1">
      <formula>$V$37</formula>
    </cfRule>
  </conditionalFormatting>
  <conditionalFormatting sqref="H38:L38">
    <cfRule type="expression" priority="70" dxfId="78" stopIfTrue="1">
      <formula>$V$38</formula>
    </cfRule>
  </conditionalFormatting>
  <conditionalFormatting sqref="H39:L39">
    <cfRule type="expression" priority="71" dxfId="78" stopIfTrue="1">
      <formula>$V$39</formula>
    </cfRule>
  </conditionalFormatting>
  <conditionalFormatting sqref="H40:L40">
    <cfRule type="expression" priority="72" dxfId="78" stopIfTrue="1">
      <formula>$V$40</formula>
    </cfRule>
  </conditionalFormatting>
  <conditionalFormatting sqref="H41:L41">
    <cfRule type="expression" priority="73" dxfId="78" stopIfTrue="1">
      <formula>$V$41</formula>
    </cfRule>
  </conditionalFormatting>
  <conditionalFormatting sqref="H42:L42">
    <cfRule type="expression" priority="74" dxfId="78" stopIfTrue="1">
      <formula>$V$42</formula>
    </cfRule>
  </conditionalFormatting>
  <conditionalFormatting sqref="H43:L43">
    <cfRule type="expression" priority="75" dxfId="78" stopIfTrue="1">
      <formula>$V$43</formula>
    </cfRule>
  </conditionalFormatting>
  <conditionalFormatting sqref="J44:L44">
    <cfRule type="expression" priority="76" dxfId="78" stopIfTrue="1">
      <formula>$V$44</formula>
    </cfRule>
  </conditionalFormatting>
  <conditionalFormatting sqref="H45:L45">
    <cfRule type="expression" priority="77" dxfId="78" stopIfTrue="1">
      <formula>$V$45</formula>
    </cfRule>
  </conditionalFormatting>
  <conditionalFormatting sqref="H46:L46">
    <cfRule type="expression" priority="78" dxfId="78" stopIfTrue="1">
      <formula>$V$46</formula>
    </cfRule>
  </conditionalFormatting>
  <conditionalFormatting sqref="H47:L47">
    <cfRule type="expression" priority="79" dxfId="78" stopIfTrue="1">
      <formula>$V$47</formula>
    </cfRule>
  </conditionalFormatting>
  <conditionalFormatting sqref="H48:L48">
    <cfRule type="expression" priority="80" dxfId="78" stopIfTrue="1">
      <formula>$V$48</formula>
    </cfRule>
  </conditionalFormatting>
  <conditionalFormatting sqref="H15:I15 J11:J14 H13:I13 H11:I11 H19:I19">
    <cfRule type="expression" priority="81" dxfId="81" stopIfTrue="1">
      <formula>$U$7</formula>
    </cfRule>
  </conditionalFormatting>
  <conditionalFormatting sqref="F24:J24">
    <cfRule type="expression" priority="82" dxfId="82" stopIfTrue="1">
      <formula>$U$10</formula>
    </cfRule>
  </conditionalFormatting>
  <conditionalFormatting sqref="T14:W14 M14:N14">
    <cfRule type="expression" priority="83" dxfId="83" stopIfTrue="1">
      <formula>$C$1</formula>
    </cfRule>
  </conditionalFormatting>
  <conditionalFormatting sqref="H49:L49 L50 H50:J50">
    <cfRule type="expression" priority="84" dxfId="78" stopIfTrue="1">
      <formula>$V$49</formula>
    </cfRule>
  </conditionalFormatting>
  <conditionalFormatting sqref="H51:L51">
    <cfRule type="expression" priority="86" dxfId="78" stopIfTrue="1">
      <formula>$V$51</formula>
    </cfRule>
  </conditionalFormatting>
  <conditionalFormatting sqref="H52:L52">
    <cfRule type="expression" priority="87" dxfId="78" stopIfTrue="1">
      <formula>$V$52</formula>
    </cfRule>
  </conditionalFormatting>
  <conditionalFormatting sqref="H53:L53">
    <cfRule type="expression" priority="88" dxfId="78" stopIfTrue="1">
      <formula>$V$53</formula>
    </cfRule>
  </conditionalFormatting>
  <conditionalFormatting sqref="H16">
    <cfRule type="expression" priority="89" dxfId="81" stopIfTrue="1">
      <formula>$C$30</formula>
    </cfRule>
  </conditionalFormatting>
  <conditionalFormatting sqref="Q30:S30">
    <cfRule type="expression" priority="92" dxfId="79" stopIfTrue="1">
      <formula>$H$20</formula>
    </cfRule>
  </conditionalFormatting>
  <conditionalFormatting sqref="Q29:T29 T30">
    <cfRule type="expression" priority="93" dxfId="84" stopIfTrue="1">
      <formula>$H$20</formula>
    </cfRule>
  </conditionalFormatting>
  <conditionalFormatting sqref="H20:I20">
    <cfRule type="cellIs" priority="94" dxfId="34" operator="greaterThan" stopIfTrue="1">
      <formula>$H$18</formula>
    </cfRule>
  </conditionalFormatting>
  <conditionalFormatting sqref="C18:D19">
    <cfRule type="cellIs" priority="95" dxfId="34" operator="greaterThan" stopIfTrue="1">
      <formula>61</formula>
    </cfRule>
    <cfRule type="expression" priority="96" dxfId="2" stopIfTrue="1">
      <formula>$C$30</formula>
    </cfRule>
  </conditionalFormatting>
  <conditionalFormatting sqref="H14:I14">
    <cfRule type="expression" priority="97" dxfId="81" stopIfTrue="1">
      <formula>$U$7</formula>
    </cfRule>
    <cfRule type="cellIs" priority="98" dxfId="34" operator="lessThan" stopIfTrue="1">
      <formula>100</formula>
    </cfRule>
    <cfRule type="cellIs" priority="99" dxfId="2" operator="greaterThan" stopIfTrue="1">
      <formula>4000</formula>
    </cfRule>
  </conditionalFormatting>
  <conditionalFormatting sqref="O14:S14">
    <cfRule type="expression" priority="102" dxfId="85" stopIfTrue="1">
      <formula>$C$1</formula>
    </cfRule>
  </conditionalFormatting>
  <conditionalFormatting sqref="H44:I44">
    <cfRule type="expression" priority="108" dxfId="86" stopIfTrue="1">
      <formula>$V$44</formula>
    </cfRule>
  </conditionalFormatting>
  <conditionalFormatting sqref="L54 K50">
    <cfRule type="expression" priority="50" dxfId="78" stopIfTrue="1">
      <formula>$V$50</formula>
    </cfRule>
  </conditionalFormatting>
  <conditionalFormatting sqref="K54">
    <cfRule type="expression" priority="45" dxfId="78" stopIfTrue="1">
      <formula>$V$54</formula>
    </cfRule>
  </conditionalFormatting>
  <conditionalFormatting sqref="K56">
    <cfRule type="expression" priority="40" dxfId="78" stopIfTrue="1">
      <formula>$V$56</formula>
    </cfRule>
  </conditionalFormatting>
  <conditionalFormatting sqref="K57">
    <cfRule type="expression" priority="39" dxfId="78" stopIfTrue="1">
      <formula>$V$57</formula>
    </cfRule>
  </conditionalFormatting>
  <conditionalFormatting sqref="K58">
    <cfRule type="expression" priority="38" dxfId="78" stopIfTrue="1">
      <formula>$V$58</formula>
    </cfRule>
  </conditionalFormatting>
  <conditionalFormatting sqref="K59">
    <cfRule type="expression" priority="37" dxfId="78" stopIfTrue="1">
      <formula>$V$59</formula>
    </cfRule>
  </conditionalFormatting>
  <conditionalFormatting sqref="K60">
    <cfRule type="expression" priority="36" dxfId="78" stopIfTrue="1">
      <formula>$V$60</formula>
    </cfRule>
  </conditionalFormatting>
  <conditionalFormatting sqref="K61">
    <cfRule type="expression" priority="35" dxfId="78" stopIfTrue="1">
      <formula>$V$61</formula>
    </cfRule>
  </conditionalFormatting>
  <conditionalFormatting sqref="K62">
    <cfRule type="expression" priority="34" dxfId="78" stopIfTrue="1">
      <formula>$V$62</formula>
    </cfRule>
  </conditionalFormatting>
  <conditionalFormatting sqref="K63">
    <cfRule type="expression" priority="33" dxfId="78" stopIfTrue="1">
      <formula>$V$63</formula>
    </cfRule>
  </conditionalFormatting>
  <conditionalFormatting sqref="K64">
    <cfRule type="expression" priority="32" dxfId="78" stopIfTrue="1">
      <formula>$V$64</formula>
    </cfRule>
  </conditionalFormatting>
  <conditionalFormatting sqref="K65">
    <cfRule type="expression" priority="31" dxfId="78" stopIfTrue="1">
      <formula>$V$65</formula>
    </cfRule>
  </conditionalFormatting>
  <conditionalFormatting sqref="K66">
    <cfRule type="expression" priority="30" dxfId="78" stopIfTrue="1">
      <formula>$V$66</formula>
    </cfRule>
  </conditionalFormatting>
  <conditionalFormatting sqref="K67">
    <cfRule type="expression" priority="29" dxfId="78" stopIfTrue="1">
      <formula>$V$67</formula>
    </cfRule>
  </conditionalFormatting>
  <conditionalFormatting sqref="K68">
    <cfRule type="expression" priority="28" dxfId="78" stopIfTrue="1">
      <formula>$V$68</formula>
    </cfRule>
  </conditionalFormatting>
  <conditionalFormatting sqref="K69">
    <cfRule type="expression" priority="27" dxfId="78" stopIfTrue="1">
      <formula>$V$69</formula>
    </cfRule>
  </conditionalFormatting>
  <conditionalFormatting sqref="K70">
    <cfRule type="expression" priority="26" dxfId="78" stopIfTrue="1">
      <formula>$V$70</formula>
    </cfRule>
  </conditionalFormatting>
  <conditionalFormatting sqref="K71">
    <cfRule type="expression" priority="25" dxfId="78" stopIfTrue="1">
      <formula>$V$71</formula>
    </cfRule>
  </conditionalFormatting>
  <conditionalFormatting sqref="K72">
    <cfRule type="expression" priority="24" dxfId="78" stopIfTrue="1">
      <formula>$V$72</formula>
    </cfRule>
  </conditionalFormatting>
  <conditionalFormatting sqref="K73">
    <cfRule type="expression" priority="23" dxfId="78" stopIfTrue="1">
      <formula>$V$73</formula>
    </cfRule>
  </conditionalFormatting>
  <conditionalFormatting sqref="K74">
    <cfRule type="expression" priority="22" dxfId="78" stopIfTrue="1">
      <formula>$V$74</formula>
    </cfRule>
  </conditionalFormatting>
  <conditionalFormatting sqref="K75">
    <cfRule type="expression" priority="21" dxfId="78" stopIfTrue="1">
      <formula>$V$75</formula>
    </cfRule>
  </conditionalFormatting>
  <conditionalFormatting sqref="K77">
    <cfRule type="expression" priority="20" dxfId="78" stopIfTrue="1">
      <formula>$V$77</formula>
    </cfRule>
  </conditionalFormatting>
  <conditionalFormatting sqref="K79">
    <cfRule type="expression" priority="19" dxfId="78" stopIfTrue="1">
      <formula>$V$79</formula>
    </cfRule>
  </conditionalFormatting>
  <conditionalFormatting sqref="K76">
    <cfRule type="expression" priority="18" dxfId="78" stopIfTrue="1">
      <formula>$V$76</formula>
    </cfRule>
  </conditionalFormatting>
  <conditionalFormatting sqref="K78">
    <cfRule type="expression" priority="17" dxfId="78" stopIfTrue="1">
      <formula>$V$78</formula>
    </cfRule>
  </conditionalFormatting>
  <conditionalFormatting sqref="K55">
    <cfRule type="expression" priority="16" dxfId="78" stopIfTrue="1">
      <formula>$V$55</formula>
    </cfRule>
  </conditionalFormatting>
  <conditionalFormatting sqref="H14:I14">
    <cfRule type="expression" priority="10" dxfId="4" stopIfTrue="1">
      <formula>$BK$18</formula>
    </cfRule>
    <cfRule type="expression" priority="11" dxfId="81" stopIfTrue="1">
      <formula>$U$7</formula>
    </cfRule>
    <cfRule type="cellIs" priority="12" dxfId="34" operator="lessThan" stopIfTrue="1">
      <formula>100</formula>
    </cfRule>
    <cfRule type="cellIs" priority="13" dxfId="2" operator="greaterThan" stopIfTrue="1">
      <formula>4000</formula>
    </cfRule>
  </conditionalFormatting>
  <conditionalFormatting sqref="H42:L42">
    <cfRule type="expression" priority="2" dxfId="78" stopIfTrue="1">
      <formula>$V$49</formula>
    </cfRule>
  </conditionalFormatting>
  <conditionalFormatting sqref="H43:L43">
    <cfRule type="expression" priority="1" dxfId="78" stopIfTrue="1">
      <formula>$V$49</formula>
    </cfRule>
  </conditionalFormatting>
  <dataValidations count="3">
    <dataValidation type="list" allowBlank="1" showInputMessage="1" showErrorMessage="1" sqref="H20:I20">
      <formula1>$AM$11:$AM$17</formula1>
    </dataValidation>
    <dataValidation errorStyle="warning" allowBlank="1" showInputMessage="1" errorTitle="правка о доходах" error="Необходима справка о доходах!" sqref="H12:I12"/>
    <dataValidation type="list" allowBlank="1" showInputMessage="1" showErrorMessage="1" sqref="H18:I18">
      <formula1>$BO$28:$BO$34</formula1>
    </dataValidation>
  </dataValidations>
  <printOptions/>
  <pageMargins left="0.8661417322834646" right="0.35433070866141736" top="0.3937007874015748" bottom="0.31496062992125984" header="0.5118110236220472" footer="0.31496062992125984"/>
  <pageSetup errors="dash" horizontalDpi="600" verticalDpi="600" orientation="portrait" scale="62" r:id="rId2"/>
  <rowBreaks count="1" manualBreakCount="1">
    <brk id="91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kurilo</dc:creator>
  <cp:keywords/>
  <dc:description/>
  <cp:lastModifiedBy>Тара Кристина Александровна</cp:lastModifiedBy>
  <cp:lastPrinted>2017-03-14T14:07:08Z</cp:lastPrinted>
  <dcterms:created xsi:type="dcterms:W3CDTF">2013-03-25T14:07:46Z</dcterms:created>
  <dcterms:modified xsi:type="dcterms:W3CDTF">2018-06-22T06:45:23Z</dcterms:modified>
  <cp:category/>
  <cp:version/>
  <cp:contentType/>
  <cp:contentStatus/>
</cp:coreProperties>
</file>